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Documents\Automotive\2016 Mustang GT PP\Performance Data Tools\"/>
    </mc:Choice>
  </mc:AlternateContent>
  <bookViews>
    <workbookView xWindow="0" yWindow="0" windowWidth="25470" windowHeight="13380"/>
  </bookViews>
  <sheets>
    <sheet name="Calc" sheetId="1" r:id="rId1"/>
    <sheet name="Instructions" sheetId="2" r:id="rId2"/>
    <sheet name="Diagrams" sheetId="3" r:id="rId3"/>
    <sheet name="Change Log" sheetId="7" r:id="rId4"/>
  </sheets>
  <definedNames>
    <definedName name="ACFFr">Calc!$A$48</definedName>
    <definedName name="ACFRr">Calc!$A$57</definedName>
    <definedName name="Baro">Calc!$A$148</definedName>
    <definedName name="BaroPress">Calc!$B$148</definedName>
    <definedName name="BumpFr">Calc!$A$74</definedName>
    <definedName name="BumpRr">Calc!$A$79</definedName>
    <definedName name="BumpWheelFr">Calc!$A$75</definedName>
    <definedName name="BumpWheelRr">Calc!$A$80</definedName>
    <definedName name="CarWeight">Calc!$A$6</definedName>
    <definedName name="DesiredSF">Calc!$A$124</definedName>
    <definedName name="DesiredWheelRate">Calc!$A$129</definedName>
    <definedName name="Dist1">Calc!$A$119</definedName>
    <definedName name="Dist2">Calc!$A$120</definedName>
    <definedName name="DistributionFront">Calc!$A$10</definedName>
    <definedName name="DistributionRear">Calc!$A$11</definedName>
    <definedName name="Driver">Calc!$A$7</definedName>
    <definedName name="FrontWeight">Calc!$A$12</definedName>
    <definedName name="FuelWeight">Calc!$A$8</definedName>
    <definedName name="HelperSpring">Calc!$A$136</definedName>
    <definedName name="Humidity">Calc!$A$149</definedName>
    <definedName name="MainSpring">Calc!$A$135</definedName>
    <definedName name="MR">Calc!$A$121</definedName>
    <definedName name="MRFr">Calc!$A$46</definedName>
    <definedName name="MRRr">Calc!$A$55</definedName>
    <definedName name="MSA">Calc!$A$156</definedName>
    <definedName name="_xlnm.Print_Area" localSheetId="0">Calc!$A$1:$K$176</definedName>
    <definedName name="RearWeight">Calc!$A$13</definedName>
    <definedName name="RelHumidity">Calc!$B$149</definedName>
    <definedName name="SAE_J1349">Calc!$A$154</definedName>
    <definedName name="SAFVFr">Calc!$A$47</definedName>
    <definedName name="SAFVRr">Calc!$A$56</definedName>
    <definedName name="SFFr">Calc!$A$51</definedName>
    <definedName name="SFFrHz">Calc!$A$52</definedName>
    <definedName name="SFRr">Calc!$A$60</definedName>
    <definedName name="SFRrHz">Calc!$A$61</definedName>
    <definedName name="SpringRateFr">Calc!$A$49</definedName>
    <definedName name="SpringRateRr">Calc!$A$58</definedName>
    <definedName name="SprungWeight">Calc!$A$43</definedName>
    <definedName name="SprungWeightFr">Calc!$A$28</definedName>
    <definedName name="SprungWeightRr">Calc!$A$39</definedName>
    <definedName name="STD">Calc!$A$158</definedName>
    <definedName name="SwayBarMRFr">Calc!$A$67</definedName>
    <definedName name="SwayBarMRRr">Calc!$A$70</definedName>
    <definedName name="SwayFr">Calc!$A$66</definedName>
    <definedName name="SwayRr">Calc!$A$69</definedName>
    <definedName name="SwayWheelFr">Calc!$A$68</definedName>
    <definedName name="SwayWheelRr">Calc!$A$71</definedName>
    <definedName name="Temp">Calc!$A$147</definedName>
    <definedName name="TempF">Calc!$B$147</definedName>
    <definedName name="TotalCarWeight">Calc!$A$9</definedName>
    <definedName name="TrackFr">Calc!$A$15</definedName>
    <definedName name="TrackRr">Calc!$A$16</definedName>
    <definedName name="UncHP">Calc!$B$150</definedName>
    <definedName name="UnHP">Calc!$A$150</definedName>
    <definedName name="UnsprungFr">Calc!$B$27</definedName>
    <definedName name="UnsprungRr">Calc!$B$38</definedName>
    <definedName name="UnsprungWeight">Calc!$A$41</definedName>
    <definedName name="Vapor">Calc!$A$152</definedName>
    <definedName name="VaporPressure">Calc!$C$152</definedName>
    <definedName name="WheelRateFr">Calc!$A$50</definedName>
    <definedName name="WheelRateRr">Calc!$A$59</definedName>
  </definedNames>
  <calcPr calcId="152511"/>
</workbook>
</file>

<file path=xl/calcChain.xml><?xml version="1.0" encoding="utf-8"?>
<calcChain xmlns="http://schemas.openxmlformats.org/spreadsheetml/2006/main">
  <c r="C175" i="1" l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A152" i="1"/>
  <c r="A156" i="1" s="1"/>
  <c r="A157" i="1" s="1"/>
  <c r="A144" i="1"/>
  <c r="A137" i="1"/>
  <c r="A132" i="1"/>
  <c r="A126" i="1"/>
  <c r="A121" i="1"/>
  <c r="A109" i="1"/>
  <c r="A113" i="1" s="1"/>
  <c r="A115" i="1" s="1"/>
  <c r="A97" i="1"/>
  <c r="A101" i="1" s="1"/>
  <c r="A103" i="1" s="1"/>
  <c r="A80" i="1"/>
  <c r="A75" i="1"/>
  <c r="A71" i="1"/>
  <c r="A68" i="1"/>
  <c r="A57" i="1"/>
  <c r="A48" i="1"/>
  <c r="B38" i="1"/>
  <c r="B27" i="1"/>
  <c r="A11" i="1"/>
  <c r="A9" i="1"/>
  <c r="A12" i="1" s="1"/>
  <c r="A28" i="1" l="1"/>
  <c r="A41" i="1"/>
  <c r="A43" i="1" s="1"/>
  <c r="A13" i="1"/>
  <c r="A39" i="1" s="1"/>
  <c r="A50" i="1"/>
  <c r="A59" i="1"/>
  <c r="C91" i="1"/>
  <c r="C92" i="1"/>
  <c r="A154" i="1"/>
  <c r="A155" i="1" s="1"/>
  <c r="A158" i="1"/>
  <c r="A159" i="1" s="1"/>
  <c r="D91" i="1"/>
  <c r="D92" i="1"/>
  <c r="A82" i="1" l="1"/>
  <c r="A81" i="1"/>
  <c r="A60" i="1"/>
  <c r="A61" i="1" s="1"/>
  <c r="A77" i="1"/>
  <c r="A51" i="1"/>
  <c r="A52" i="1" s="1"/>
  <c r="A78" i="1"/>
  <c r="E92" i="1"/>
  <c r="G92" i="1"/>
  <c r="F91" i="1"/>
  <c r="H91" i="1"/>
  <c r="F92" i="1"/>
  <c r="H92" i="1"/>
  <c r="E91" i="1"/>
  <c r="G91" i="1"/>
  <c r="A83" i="1" l="1"/>
  <c r="A85" i="1" s="1"/>
  <c r="A63" i="1"/>
  <c r="J91" i="1"/>
  <c r="I91" i="1"/>
  <c r="J92" i="1"/>
  <c r="I92" i="1"/>
  <c r="A84" i="1"/>
  <c r="A86" i="1" s="1"/>
</calcChain>
</file>

<file path=xl/comments1.xml><?xml version="1.0" encoding="utf-8"?>
<comments xmlns="http://schemas.openxmlformats.org/spreadsheetml/2006/main">
  <authors>
    <author>Addison Hauge</author>
  </authors>
  <commentList>
    <comment ref="B20" authorId="0" shapeId="0">
      <text>
        <r>
          <rPr>
            <b/>
            <sz val="9"/>
            <color indexed="81"/>
            <rFont val="Tahoma"/>
            <family val="2"/>
          </rPr>
          <t>RTR Tech 7 19x9.5</t>
        </r>
      </text>
    </comment>
    <comment ref="B21" authorId="0" shapeId="0">
      <text>
        <r>
          <rPr>
            <b/>
            <sz val="9"/>
            <color indexed="81"/>
            <rFont val="Tahoma"/>
            <family val="2"/>
          </rPr>
          <t>Michelin Pilot Sport 4S 275/35R19</t>
        </r>
      </text>
    </comment>
    <comment ref="B23" authorId="0" shapeId="0">
      <text>
        <r>
          <rPr>
            <b/>
            <sz val="9"/>
            <color indexed="81"/>
            <rFont val="Tahoma"/>
            <family val="2"/>
          </rPr>
          <t>4.3 lbs lateral link
6.8 lbs tension link</t>
        </r>
      </text>
    </comment>
    <comment ref="B25" authorId="0" shapeId="0">
      <text>
        <r>
          <rPr>
            <b/>
            <sz val="9"/>
            <color indexed="81"/>
            <rFont val="Tahoma"/>
            <family val="2"/>
          </rPr>
          <t xml:space="preserve">15" Performance Package Brembo </t>
        </r>
      </text>
    </comment>
    <comment ref="B30" authorId="0" shapeId="0">
      <text>
        <r>
          <rPr>
            <b/>
            <sz val="9"/>
            <color indexed="81"/>
            <rFont val="Tahoma"/>
            <family val="2"/>
          </rPr>
          <t>RTR Tech 7 19x9.5</t>
        </r>
      </text>
    </comment>
    <comment ref="B31" authorId="0" shapeId="0">
      <text>
        <r>
          <rPr>
            <b/>
            <sz val="9"/>
            <color indexed="81"/>
            <rFont val="Tahoma"/>
            <family val="2"/>
          </rPr>
          <t>Michelin Pilot Sport 4S 275/35R19</t>
        </r>
      </text>
    </comment>
    <comment ref="B35" authorId="0" shapeId="0">
      <text>
        <r>
          <rPr>
            <b/>
            <sz val="9"/>
            <color indexed="81"/>
            <rFont val="Tahoma"/>
            <family val="2"/>
          </rPr>
          <t>4.5 lbs strut
8.5 lbs spring</t>
        </r>
      </text>
    </comment>
    <comment ref="A66" authorId="0" shapeId="0">
      <text>
        <r>
          <rPr>
            <b/>
            <sz val="9"/>
            <color indexed="81"/>
            <rFont val="Tahoma"/>
            <family val="2"/>
          </rPr>
          <t>OE 32mm front bar measured at 295 lbs/in by Eibach
OE 34mm front bar is 14% stiffer at 295*1.14 = 336 lbs/in
BMR P1 = 295*1.28 = 377 lbs/in
BMR P2 = 295*1.49 = 439 lbs/in
BMR P3 = 295*1.70 = 501 lbs/in
Eibach P1 = 372 lbs/in
Eibach P2 = 475 lbs/in
Eibach P3 = 515 lbs/in
OE 32mm P1 (1.25") = 295*1.19 = 351 lbs/in 
OE 32mm P2 (1.5") = 295*1.32 = 389 lbs/in
OE 32mm P3 (1.75") = 295*1.45 = 427 lbs/in
OE 34mm P1 (1.25") = 336*1.19 = 399 lbs/in 
OE 34mm P2 (1.5") = 336*1.32 = 443 lbs/in
OE 34mm P3 (1.75") = 336*1.45 = 487 lbs/in</t>
        </r>
      </text>
    </comment>
    <comment ref="A69" authorId="0" shapeId="0">
      <text>
        <r>
          <rPr>
            <b/>
            <sz val="9"/>
            <color indexed="81"/>
            <rFont val="Tahoma"/>
            <family val="2"/>
          </rPr>
          <t>OE 22mm rear bar measured at 123 lbs/in by Eibach
BMR P1 = 123*1.63 = 200 lbs/in
BMR P2 = 123*1.85 = 227 lbs/in
BMR P3 = 123*2.08 = 255 lbs/in
Eibach P1 = 198 lbs/in
Eibach P2 = 234 lbs/in
Eibach P3 = 285 lbs/in</t>
        </r>
      </text>
    </comment>
  </commentList>
</comments>
</file>

<file path=xl/sharedStrings.xml><?xml version="1.0" encoding="utf-8"?>
<sst xmlns="http://schemas.openxmlformats.org/spreadsheetml/2006/main" count="234" uniqueCount="206">
  <si>
    <t>Suspension Tuning Calculations</t>
  </si>
  <si>
    <t>By Rob Robinette V9.10.16</t>
  </si>
  <si>
    <r>
      <t xml:space="preserve">Download latest version of this spreadsheet: </t>
    </r>
    <r>
      <rPr>
        <i/>
        <sz val="10"/>
        <color rgb="FF0000FF"/>
        <rFont val="Arial"/>
        <family val="2"/>
      </rPr>
      <t>Suspension.ods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rgb="FF0000FF"/>
        <rFont val="Arial"/>
        <family val="2"/>
      </rPr>
      <t>Suspension.xls</t>
    </r>
  </si>
  <si>
    <t>AutoMath.xls</t>
  </si>
  <si>
    <t>lbs Driver Weight (175 average)</t>
  </si>
  <si>
    <t>lbs Fuel Weight</t>
  </si>
  <si>
    <t xml:space="preserve"> Gallons US Fuel</t>
  </si>
  <si>
    <t>lbs Total Car Weight</t>
  </si>
  <si>
    <t xml:space="preserve"> Front Weight Distribution (52%)</t>
  </si>
  <si>
    <t xml:space="preserve"> Rear Weight Distribution</t>
  </si>
  <si>
    <t>lbs Front Weight</t>
  </si>
  <si>
    <t>lbs Rear Weight</t>
  </si>
  <si>
    <t>Calculate Unsprung Weights</t>
  </si>
  <si>
    <t xml:space="preserve"> Front Wheel (17)</t>
  </si>
  <si>
    <t xml:space="preserve"> Front Tire (21)</t>
  </si>
  <si>
    <t xml:space="preserve"> Front Knuckle (25)</t>
  </si>
  <si>
    <t xml:space="preserve"> Front Lower Arm 40% (7)</t>
  </si>
  <si>
    <t xml:space="preserve"> Front Shock &amp; Spring (20)</t>
  </si>
  <si>
    <t xml:space="preserve"> Front Brake Rotor (14.3)</t>
  </si>
  <si>
    <t xml:space="preserve"> Front Wet Brake Caliper (8.3)</t>
  </si>
  <si>
    <t xml:space="preserve"> Total Front Unsprung Weight ( * 2)</t>
  </si>
  <si>
    <t>lbs Front Sprung Weight Per Wheel</t>
  </si>
  <si>
    <t xml:space="preserve"> Rear Wheel (17)</t>
  </si>
  <si>
    <t xml:space="preserve"> Rear Tire (21)</t>
  </si>
  <si>
    <t xml:space="preserve"> Rear Knuckle (23)</t>
  </si>
  <si>
    <t xml:space="preserve"> Half Shaft 50% (14)</t>
  </si>
  <si>
    <t xml:space="preserve"> Rear Lower Arms 50% (4)</t>
  </si>
  <si>
    <t xml:space="preserve"> Rear Shock &amp; Spring (20)</t>
  </si>
  <si>
    <t xml:space="preserve"> Rear Brake Rotor (9.3)</t>
  </si>
  <si>
    <t xml:space="preserve"> Rear Wet Brake Caliper (6.75)</t>
  </si>
  <si>
    <t xml:space="preserve"> Total Rear Unsprung Weight ( * 2)</t>
  </si>
  <si>
    <t>lbs Rear Sprung Weight Per Wheel</t>
  </si>
  <si>
    <t>Front Suspension</t>
  </si>
  <si>
    <t xml:space="preserve"> Spring Angle Correction Factor = Cosine(Spring Anglel)</t>
  </si>
  <si>
    <t>lb-in Wheel Rate = Motion Ratio^2 * Spring Rate * Spring Angle Correction Factor</t>
  </si>
  <si>
    <r>
      <t>cpm Suspension Frequency (</t>
    </r>
    <r>
      <rPr>
        <b/>
        <sz val="10"/>
        <color theme="1"/>
        <rFont val="Arial"/>
        <family val="2"/>
      </rPr>
      <t>cycles per minute</t>
    </r>
    <r>
      <rPr>
        <sz val="10"/>
        <color theme="1"/>
        <rFont val="Arial"/>
        <family val="2"/>
      </rPr>
      <t>) = 187.8 * SquareRoot(Wheel Rate / Sprung Weight)</t>
    </r>
  </si>
  <si>
    <t>Hz Front Suspension Frequency (cycles per second) = Suspension Frequency / 60 (1.282 for NC Miata)</t>
  </si>
  <si>
    <t>Rear Suspension</t>
  </si>
  <si>
    <t xml:space="preserve"> Spring Angle Correction Factor = Cosine(Spring Angle)</t>
  </si>
  <si>
    <t>Hz Rear Suspension Frequency (cycles per second) = Suspension Frequency / 60 (1.439 for NC Miata)</t>
  </si>
  <si>
    <t>Ratio &gt; 1 means the rear’s frequency is higher than the front &amp; tending toward oversteer</t>
  </si>
  <si>
    <t>Sway Bars</t>
  </si>
  <si>
    <t>Roll Stiffness &amp; Roll Couple</t>
  </si>
  <si>
    <t>lb-in Front Bump Stop Wheel Rate = Bump Stop Rate * Motion Ratio^2 (121.7)</t>
  </si>
  <si>
    <t>*Bump stop stiffness only comes into play near max suspension travel.</t>
  </si>
  <si>
    <r>
      <t xml:space="preserve">Lb-ft/degrees </t>
    </r>
    <r>
      <rPr>
        <sz val="11"/>
        <color rgb="FFFF3333"/>
        <rFont val="Arial"/>
        <family val="2"/>
      </rPr>
      <t>Front Roll Stiffness</t>
    </r>
    <r>
      <rPr>
        <b/>
        <sz val="10"/>
        <color theme="1"/>
        <rFont val="Arial"/>
        <family val="2"/>
      </rPr>
      <t xml:space="preserve"> = (12 * Pi * (Track Width in feet)^2 * Wheel Rate) / (180 * 2) + Sway Bar</t>
    </r>
  </si>
  <si>
    <t>Lb-ft/degrees Front Roll Stiffness + Bump Stops = (12 * Pi * (Track Width in feet)^2 * Wheel Rate) / (180 * 2) + Sway Bar + Bump Stop</t>
  </si>
  <si>
    <t>lb-in Rear Bump Stop Wheel Rate = Bump Stop Rate * Motion Ratio (75.7)</t>
  </si>
  <si>
    <r>
      <t xml:space="preserve">lb-ft/degrees </t>
    </r>
    <r>
      <rPr>
        <sz val="11"/>
        <color rgb="FFFF3333"/>
        <rFont val="Arial"/>
        <family val="2"/>
      </rPr>
      <t>Rear Roll Stiffness</t>
    </r>
    <r>
      <rPr>
        <b/>
        <sz val="10"/>
        <color theme="1"/>
        <rFont val="Arial"/>
        <family val="2"/>
      </rPr>
      <t xml:space="preserve"> = (12 * Pi * (Track Width in feet)^2 * Wheel Rate) / (180 * 2) + Sway Bar</t>
    </r>
  </si>
  <si>
    <t>lb-ft/degrees Rear Roll Stiffness + Bump Stops = (12 * Pi * (Track Width in feet)^2 * Wheel Rate) / (180 * 2) + Sway Bar + Bump Stop</t>
  </si>
  <si>
    <r>
      <t xml:space="preserve">lb-ft/degrees </t>
    </r>
    <r>
      <rPr>
        <sz val="11"/>
        <color rgb="FFFF3333"/>
        <rFont val="Arial"/>
        <family val="2"/>
      </rPr>
      <t>Total Roll Stiffness</t>
    </r>
    <r>
      <rPr>
        <b/>
        <sz val="10"/>
        <color theme="1"/>
        <rFont val="Arial"/>
        <family val="2"/>
      </rPr>
      <t xml:space="preserve"> = Front Roll Stiffness + Rear Roll Stiffness</t>
    </r>
  </si>
  <si>
    <t>lb-ft/degrees Total Roll Stiffness With Bump Stops = Front Roll Stiffness + Rear Roll Stiffness + Bump Stops</t>
  </si>
  <si>
    <r>
      <t xml:space="preserve"> </t>
    </r>
    <r>
      <rPr>
        <sz val="11"/>
        <color rgb="FFFF3333"/>
        <rFont val="Arial"/>
        <family val="2"/>
      </rPr>
      <t>Front Roll Couple*</t>
    </r>
    <r>
      <rPr>
        <b/>
        <sz val="12"/>
        <color theme="1"/>
        <rFont val="Arial"/>
        <family val="2"/>
      </rPr>
      <t xml:space="preserve"> = Front Roll Stiffness / Total Roll Stiffness</t>
    </r>
  </si>
  <si>
    <t xml:space="preserve"> Front Roll Couple* With Bump Stops = Front Roll Stiffness / Total Roll Stiffness</t>
  </si>
  <si>
    <t>This table uses above values for sway bar rates, motion ratios, spring angle, sprung weight and track width</t>
  </si>
  <si>
    <t>Front</t>
  </si>
  <si>
    <t>Rear</t>
  </si>
  <si>
    <t>Front Roll</t>
  </si>
  <si>
    <t>Rear Roll</t>
  </si>
  <si>
    <t>Total Roll</t>
  </si>
  <si>
    <t>Springs</t>
  </si>
  <si>
    <t>Wheel Rate</t>
  </si>
  <si>
    <t>Frequency</t>
  </si>
  <si>
    <t>Stiffness</t>
  </si>
  <si>
    <t>Couple %</t>
  </si>
  <si>
    <t>Calculate Front Sway Bar Rate</t>
  </si>
  <si>
    <t>in Front Sway Bar Inside Diameter ID (solid = 0)</t>
  </si>
  <si>
    <t>See Diagrams sheet for bar measurement explanation</t>
  </si>
  <si>
    <t>Calculate Rear Sway Bar Rate</t>
  </si>
  <si>
    <t>Calculate Motion Ratio</t>
  </si>
  <si>
    <t xml:space="preserve"> Spring or sway bar to wheel motion, see Diagrams sheet for more info</t>
  </si>
  <si>
    <t xml:space="preserve"> Distance from control arm inner pivot to spring centerline (in) or (mm)</t>
  </si>
  <si>
    <t xml:space="preserve"> Distance from control arm inner pivot to lower ball joint  (in) or (mm)</t>
  </si>
  <si>
    <t>Calculate Wheel Rate From Desired Suspension Frequency</t>
  </si>
  <si>
    <t xml:space="preserve"> Hz Desired Suspension Frequency</t>
  </si>
  <si>
    <t xml:space="preserve"> lbs Sprung Weight</t>
  </si>
  <si>
    <t xml:space="preserve"> lb-in Wheel Rate = (Desired Frequency / 3.13)^2 * Sprung Weight</t>
  </si>
  <si>
    <t>Calculate Spring Rate From Desired Wheel Rate</t>
  </si>
  <si>
    <t xml:space="preserve"> Desired Wheel Rate (lb-in or N/mm)</t>
  </si>
  <si>
    <t xml:space="preserve"> Motion Ratio Front or Rear</t>
  </si>
  <si>
    <t xml:space="preserve"> Spring Angle Correction Factor</t>
  </si>
  <si>
    <t xml:space="preserve"> Spring Rate (lbs-in or N-mm) = Desired Wheel Rate / (Motion Ratio^2 * Spring Angle Correction Factor)</t>
  </si>
  <si>
    <t>Calculate Dual Spring Rates</t>
  </si>
  <si>
    <t xml:space="preserve"> Main Spring Rate (lb-in or N/mm)</t>
  </si>
  <si>
    <t xml:space="preserve"> Helper Spring Rate (lb-in or N/mm)</t>
  </si>
  <si>
    <t xml:space="preserve"> Active Spring Rate Before Helper Spring Bind = (Main Spring*Helper Spring)/(Main Spring+Helper Spring)</t>
  </si>
  <si>
    <t>Spring rate will start with “Active Spring Rate” and progress to Main Spring rate.</t>
  </si>
  <si>
    <t>Low rate keeper springs are usually fully bound and do not contribute to spring rate</t>
  </si>
  <si>
    <t>Skid Pad Lateral g</t>
  </si>
  <si>
    <t>ft Skid Pad Radius (radius of the car’s path around the skid pad)</t>
  </si>
  <si>
    <t>sec Skid Pad Lap Time</t>
  </si>
  <si>
    <t>g</t>
  </si>
  <si>
    <t>Dyno Correction Factors* (CF)</t>
  </si>
  <si>
    <t>F Temperature</t>
  </si>
  <si>
    <t>inHG Barometric Pressure</t>
  </si>
  <si>
    <t xml:space="preserve"> Relative Humidity</t>
  </si>
  <si>
    <t xml:space="preserve"> Uncorrected Dyno Horsepower</t>
  </si>
  <si>
    <t>inHg Vapor Pressure</t>
  </si>
  <si>
    <t xml:space="preserve"> SAE J1349 Air Correction Factor</t>
  </si>
  <si>
    <t xml:space="preserve"> SAE Corrected Horsepower</t>
  </si>
  <si>
    <t xml:space="preserve"> Motorsports Standard Atmosphere CF</t>
  </si>
  <si>
    <t xml:space="preserve"> MSA corrected Horsepower</t>
  </si>
  <si>
    <t xml:space="preserve"> STD Correction Factor</t>
  </si>
  <si>
    <t xml:space="preserve"> STD Corrected Horsepower</t>
  </si>
  <si>
    <t>Conversions</t>
  </si>
  <si>
    <t>In         =</t>
  </si>
  <si>
    <t>mm</t>
  </si>
  <si>
    <t>mm      =</t>
  </si>
  <si>
    <t>in</t>
  </si>
  <si>
    <t>lbs       =</t>
  </si>
  <si>
    <t>N</t>
  </si>
  <si>
    <t>N         =</t>
  </si>
  <si>
    <t>lbs</t>
  </si>
  <si>
    <t>K</t>
  </si>
  <si>
    <t>K         =</t>
  </si>
  <si>
    <t>lb-ft     =</t>
  </si>
  <si>
    <t>Nm</t>
  </si>
  <si>
    <t>Nm      =</t>
  </si>
  <si>
    <t>lb-ft</t>
  </si>
  <si>
    <t>Kg-mm spring rate</t>
  </si>
  <si>
    <t>Kg-mm =</t>
  </si>
  <si>
    <t>lb-in     =</t>
  </si>
  <si>
    <t>BAR    =</t>
  </si>
  <si>
    <t>PSI</t>
  </si>
  <si>
    <t>PSI     =</t>
  </si>
  <si>
    <t>BAR</t>
  </si>
  <si>
    <t>Instructions</t>
  </si>
  <si>
    <t xml:space="preserve"> d2 is the Lower Arm length, the distance from the center of the lower control arm inner pivot to the center of the lower ball joint pivot</t>
  </si>
  <si>
    <t xml:space="preserve"> For Spring Motion Ratio d1 is distance from lower control arm inner pivot to the spring centerline</t>
  </si>
  <si>
    <t xml:space="preserve"> Spring Motion Ratio =  d1 Spring / d2 Lower Arm Length</t>
  </si>
  <si>
    <t xml:space="preserve"> For Sway Bar Motion Ratio d1 is from the lower control arm inner pivot to the sway bar end link hole on the lower arm</t>
  </si>
  <si>
    <t xml:space="preserve"> Sway Bar Motion Ratio = d1 Sway Bar / d2 Lower Arm Length</t>
  </si>
  <si>
    <t xml:space="preserve"> Spring Angle A is angle between spring and lower control arm (labled “Shock Angle” in picture above)</t>
  </si>
  <si>
    <t>Sway bar dimensions needed along with bar outside diameter (OD) and inner diameter (ID, or wall thickness) for bar rate equation.</t>
  </si>
  <si>
    <t>Bar Length is distance between the first bends outside the bushings while following bar bends (center of bend to center of bend).</t>
  </si>
  <si>
    <t>Arm Leverage is distance from sway bar pivot to sway bar end link hole, perpindicular to the sway bar pivot.</t>
  </si>
  <si>
    <t>Arm Length is distance from the center of the first bend outside the bushing to the sway bar end link hole while following bar bends.</t>
  </si>
  <si>
    <t>Measurement should follow bends for Bar Length and Arm Length.</t>
  </si>
  <si>
    <t>BarID (bar inside diameter) = 0 for a solid sway bar</t>
  </si>
  <si>
    <t>BarID = Bar OD – 2 * Bar Wall Thickness</t>
  </si>
  <si>
    <t>My Formulas for Calculating Sway Bar Rate</t>
  </si>
  <si>
    <t>Sway Bar Rate =</t>
  </si>
  <si>
    <r>
      <t>600,000 * (</t>
    </r>
    <r>
      <rPr>
        <b/>
        <sz val="10"/>
        <color rgb="FF0000FF"/>
        <rFont val="Arial"/>
        <family val="2"/>
      </rPr>
      <t>BarOD</t>
    </r>
    <r>
      <rPr>
        <b/>
        <sz val="10"/>
        <color theme="1"/>
        <rFont val="Arial"/>
        <family val="2"/>
      </rPr>
      <t xml:space="preserve">^4 – </t>
    </r>
    <r>
      <rPr>
        <b/>
        <sz val="10"/>
        <color rgb="FFFF0000"/>
        <rFont val="Arial"/>
        <family val="2"/>
      </rPr>
      <t>BarID</t>
    </r>
    <r>
      <rPr>
        <b/>
        <sz val="10"/>
        <color theme="1"/>
        <rFont val="Arial"/>
        <family val="2"/>
      </rPr>
      <t>^4)</t>
    </r>
  </si>
  <si>
    <r>
      <t xml:space="preserve">0.3632 * </t>
    </r>
    <r>
      <rPr>
        <b/>
        <sz val="10"/>
        <color rgb="FFFF00FF"/>
        <rFont val="Arial"/>
        <family val="2"/>
      </rPr>
      <t>ArmLeverage</t>
    </r>
    <r>
      <rPr>
        <b/>
        <sz val="10"/>
        <color theme="1"/>
        <rFont val="Arial"/>
        <family val="2"/>
      </rPr>
      <t xml:space="preserve">^2 * </t>
    </r>
    <r>
      <rPr>
        <b/>
        <sz val="10"/>
        <color rgb="FF008000"/>
        <rFont val="Arial"/>
        <family val="2"/>
      </rPr>
      <t>BarLength</t>
    </r>
    <r>
      <rPr>
        <b/>
        <sz val="10"/>
        <color theme="1"/>
        <rFont val="Arial"/>
        <family val="2"/>
      </rPr>
      <t xml:space="preserve"> + 0.1722 * </t>
    </r>
    <r>
      <rPr>
        <b/>
        <sz val="10"/>
        <color rgb="FF000080"/>
        <rFont val="Arial"/>
        <family val="2"/>
      </rPr>
      <t>ArmLength</t>
    </r>
    <r>
      <rPr>
        <b/>
        <sz val="10"/>
        <color theme="1"/>
        <rFont val="Arial"/>
        <family val="2"/>
      </rPr>
      <t>^3</t>
    </r>
  </si>
  <si>
    <t>OR</t>
  </si>
  <si>
    <r>
      <t>600,000 * (</t>
    </r>
    <r>
      <rPr>
        <b/>
        <sz val="10"/>
        <color rgb="FF0000FF"/>
        <rFont val="Arial"/>
        <family val="2"/>
      </rPr>
      <t>BarOD</t>
    </r>
    <r>
      <rPr>
        <b/>
        <sz val="10"/>
        <color theme="1"/>
        <rFont val="Arial"/>
        <family val="2"/>
      </rPr>
      <t xml:space="preserve">^4 – </t>
    </r>
    <r>
      <rPr>
        <b/>
        <sz val="10"/>
        <color rgb="FFFF0000"/>
        <rFont val="Arial"/>
        <family val="2"/>
      </rPr>
      <t>(BarOD – 2 * WallThickness)</t>
    </r>
    <r>
      <rPr>
        <b/>
        <sz val="10"/>
        <color theme="1"/>
        <rFont val="Arial"/>
        <family val="2"/>
      </rPr>
      <t>^4)</t>
    </r>
  </si>
  <si>
    <t>600,000psi = 3.6 * π * Steel Elasticity * Steel Sheer</t>
  </si>
  <si>
    <t>0.3632 = Steel Elasticity</t>
  </si>
  <si>
    <t>0.1722 = Steel Sheer</t>
  </si>
  <si>
    <t>Equation assumes the bar and bar arm are made of the same material.</t>
  </si>
  <si>
    <t>NC Miata Sway Bar Dimensions</t>
  </si>
  <si>
    <t xml:space="preserve"> rate* is a relative number and is not the bar rate in in-lb</t>
  </si>
  <si>
    <t>Change Log</t>
  </si>
  <si>
    <t>V9.10.16</t>
  </si>
  <si>
    <t>Corrected swaybar and bumpstop wheel rate formula to square the motion ratio</t>
  </si>
  <si>
    <t>V7.10.16</t>
  </si>
  <si>
    <t>Used my own measurements for the stock NC Miata rear sway bar (standard suspension)</t>
  </si>
  <si>
    <t>V7.9.16</t>
  </si>
  <si>
    <t>Added new NC Miata rear suspension measurment guide</t>
  </si>
  <si>
    <t>V7.5.16</t>
  </si>
  <si>
    <t>Added Honda S2000 and NC Miata Suspension Value tabs</t>
  </si>
  <si>
    <t>V7.4.16</t>
  </si>
  <si>
    <t>Corrected minor typos</t>
  </si>
  <si>
    <t>V7.3.16c</t>
  </si>
  <si>
    <t>Used my own measurements for the stock NC Miata front sway bar</t>
  </si>
  <si>
    <t>V7.3.16b</t>
  </si>
  <si>
    <t>Updated Sway Bar Rate Formula graphic</t>
  </si>
  <si>
    <t>V7.3.16</t>
  </si>
  <si>
    <t>Changed Sway Bar Rate Formula from Puhn to Robinette due to Puhn formula understimating known bar rates</t>
  </si>
  <si>
    <t>Also updated the Stock NC Miata Sway Bar Rates, Roll Stiffness and Front Roll Couple % values</t>
  </si>
  <si>
    <t>SP080 Springs</t>
  </si>
  <si>
    <t>SP083 Springs</t>
  </si>
  <si>
    <t>lbs Car Weight</t>
  </si>
  <si>
    <t>in Front Track</t>
  </si>
  <si>
    <t>in Rear Track</t>
  </si>
  <si>
    <t>Enter weights for one corner in lbs</t>
  </si>
  <si>
    <t>lbs Total Unsprung Weight</t>
  </si>
  <si>
    <r>
      <t>Motion Ratio (</t>
    </r>
    <r>
      <rPr>
        <i/>
        <sz val="10"/>
        <color rgb="FF6666FF"/>
        <rFont val="Arial"/>
        <family val="2"/>
      </rPr>
      <t>See Diagrams sheet for measurement details)</t>
    </r>
  </si>
  <si>
    <t>º Angle Between Spring and Lower Control Arm</t>
  </si>
  <si>
    <t xml:space="preserve"> Rear to Front Suspension Frequency Ratio = Rear Suspension Freq / Front Suspension Freq</t>
  </si>
  <si>
    <t>Lb-in Front Sway Bar Rate at the Wheel = Sway Bar Rate * Motion Ratio^2</t>
  </si>
  <si>
    <t xml:space="preserve"> Front Sway Bar Motion Ratio (bar arm to wheel motion)</t>
  </si>
  <si>
    <t>lb-in Rear Sway Bar Rate</t>
  </si>
  <si>
    <t xml:space="preserve"> Rear Sway Bar Motion Ratio (bar arm to wheel motion)</t>
  </si>
  <si>
    <t>Lb-in Rear Sway Bar Rate at the Wheel = Sway Bar Rate * Motion Ratio^2</t>
  </si>
  <si>
    <t>in Front Sway Bar Outside Diameter OD</t>
  </si>
  <si>
    <t>in Front Sway Bar Wall Thickness (OD-ID) / 2 = wall thickness, For Solid Bars use OD / 2</t>
  </si>
  <si>
    <t>in Front Sway Bar Arm Leverage (distance from bar center to arm hole)</t>
  </si>
  <si>
    <t>in Front Sway Bar Acutual Arm Length</t>
  </si>
  <si>
    <t>in Front Sway Bar Length</t>
  </si>
  <si>
    <t>lb-in Front Sway Bar Rate</t>
  </si>
  <si>
    <t xml:space="preserve"> Front Sway Bar Motion Ratio</t>
  </si>
  <si>
    <t>Lb-in Front Sway Bar Rate at the Wheel = Sway Bar Rate * Motion Ratio</t>
  </si>
  <si>
    <t>in Rear Sway Bar Outside Diameter OD</t>
  </si>
  <si>
    <t>in Rear Sway Bar Wall Thickness (OD-ID / 2 = wall thickness, For solid bars use OD / 2)</t>
  </si>
  <si>
    <t>in Rear Sway Bar Arm Leverage</t>
  </si>
  <si>
    <t>in Rear Sway Bar Acutual Arm Length</t>
  </si>
  <si>
    <t>in Rear Sway Bar Length</t>
  </si>
  <si>
    <t xml:space="preserve"> Rear Sway Bar Motion Ratio</t>
  </si>
  <si>
    <t>Lb-in Rear Sway Bar Rate at the Wheel = Sway Bar Rate * Motion Ratio</t>
  </si>
  <si>
    <t xml:space="preserve"> Motion Ratio = Distance 1 / Distance 2</t>
  </si>
  <si>
    <r>
      <t xml:space="preserve">Enter values in blue, </t>
    </r>
    <r>
      <rPr>
        <b/>
        <i/>
        <sz val="10"/>
        <color rgb="FF000000"/>
        <rFont val="Arial"/>
        <family val="2"/>
      </rPr>
      <t>numbers in black are calculated. All Weights in lbs</t>
    </r>
  </si>
  <si>
    <t>lbs Total Sprung Weight = Total Car Weight – Total Unsprung Weight</t>
  </si>
  <si>
    <t>lb-in Spring Rate</t>
  </si>
  <si>
    <t>lb-in Front Bump Stop Rate</t>
  </si>
  <si>
    <t>lb-in Rear bump stop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</si>
</sst>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%"/>
    <numFmt numFmtId="165" formatCode="#,##0.0"/>
    <numFmt numFmtId="166" formatCode="0.0"/>
    <numFmt numFmtId="167" formatCode="0.000"/>
    <numFmt numFmtId="168" formatCode="0.0000000"/>
    <numFmt numFmtId="169" formatCode="#,##0.000"/>
    <numFmt numFmtId="170" formatCode="#,##0.0000"/>
    <numFmt numFmtId="171" formatCode="0.0000"/>
    <numFmt numFmtId="172" formatCode="0.00000"/>
    <numFmt numFmtId="173" formatCode="0.000000"/>
    <numFmt numFmtId="174" formatCode="[$$-409]#,##0.00;[Red]&quot;-&quot;[$$-409]#,##0.00"/>
  </numFmts>
  <fonts count="26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0"/>
      <color theme="1"/>
      <name val="Arial"/>
      <family val="2"/>
    </font>
    <font>
      <b/>
      <shadow/>
      <sz val="18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i/>
      <sz val="10"/>
      <color rgb="FF0000FF"/>
      <name val="Arial"/>
      <family val="2"/>
    </font>
    <font>
      <b/>
      <i/>
      <sz val="10"/>
      <color rgb="FF6666FF"/>
      <name val="Arial"/>
      <family val="2"/>
    </font>
    <font>
      <b/>
      <i/>
      <sz val="10"/>
      <color rgb="FF000000"/>
      <name val="Arial"/>
      <family val="2"/>
    </font>
    <font>
      <b/>
      <sz val="10"/>
      <color rgb="FF6666FF"/>
      <name val="Arial"/>
      <family val="2"/>
    </font>
    <font>
      <sz val="10"/>
      <color rgb="FF6666FF"/>
      <name val="Arial"/>
      <family val="2"/>
    </font>
    <font>
      <b/>
      <sz val="12"/>
      <color rgb="FF6666FF"/>
      <name val="Arial"/>
      <family val="2"/>
    </font>
    <font>
      <sz val="12"/>
      <color rgb="FF6666FF"/>
      <name val="Arial"/>
      <family val="2"/>
    </font>
    <font>
      <i/>
      <sz val="10"/>
      <color rgb="FF6666FF"/>
      <name val="Arial"/>
      <family val="2"/>
    </font>
    <font>
      <b/>
      <sz val="12"/>
      <color rgb="FFFF3300"/>
      <name val="Arial"/>
      <family val="2"/>
    </font>
    <font>
      <sz val="11"/>
      <color rgb="FFFF3333"/>
      <name val="Arial"/>
      <family val="2"/>
    </font>
    <font>
      <b/>
      <sz val="12"/>
      <color theme="1"/>
      <name val="Arial"/>
      <family val="2"/>
    </font>
    <font>
      <b/>
      <sz val="10"/>
      <color rgb="FFFF0000"/>
      <name val="Arial"/>
      <family val="2"/>
    </font>
    <font>
      <b/>
      <i/>
      <sz val="10"/>
      <color theme="1"/>
      <name val="Arial"/>
      <family val="2"/>
    </font>
    <font>
      <b/>
      <sz val="10"/>
      <color rgb="FF0000FF"/>
      <name val="Arial"/>
      <family val="2"/>
    </font>
    <font>
      <b/>
      <sz val="10"/>
      <color rgb="FFFF00FF"/>
      <name val="Arial"/>
      <family val="2"/>
    </font>
    <font>
      <b/>
      <sz val="10"/>
      <color rgb="FF008000"/>
      <name val="Arial"/>
      <family val="2"/>
    </font>
    <font>
      <b/>
      <sz val="10"/>
      <color rgb="FF000080"/>
      <name val="Arial"/>
      <family val="2"/>
    </font>
    <font>
      <b/>
      <sz val="18"/>
      <color theme="1"/>
      <name val="Arial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66FFFF"/>
        <bgColor rgb="FF66FFFF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74" fontId="2" fillId="0" borderId="0"/>
  </cellStyleXfs>
  <cellXfs count="65">
    <xf numFmtId="0" fontId="0" fillId="0" borderId="0" xfId="0"/>
    <xf numFmtId="0" fontId="4" fillId="2" borderId="1" xfId="0" applyFont="1" applyFill="1" applyBorder="1"/>
    <xf numFmtId="0" fontId="3" fillId="2" borderId="1" xfId="0" applyFont="1" applyFill="1" applyBorder="1"/>
    <xf numFmtId="0" fontId="5" fillId="0" borderId="0" xfId="0" applyFont="1"/>
    <xf numFmtId="0" fontId="3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 applyProtection="1">
      <protection locked="0"/>
    </xf>
    <xf numFmtId="0" fontId="11" fillId="0" borderId="0" xfId="0" applyFont="1"/>
    <xf numFmtId="0" fontId="12" fillId="0" borderId="0" xfId="0" applyFont="1" applyProtection="1">
      <protection locked="0"/>
    </xf>
    <xf numFmtId="0" fontId="13" fillId="0" borderId="0" xfId="0" applyFont="1"/>
    <xf numFmtId="0" fontId="10" fillId="0" borderId="0" xfId="0" applyFont="1"/>
    <xf numFmtId="164" fontId="10" fillId="0" borderId="0" xfId="0" applyNumberFormat="1" applyFont="1"/>
    <xf numFmtId="164" fontId="5" fillId="0" borderId="0" xfId="0" applyNumberFormat="1" applyFont="1"/>
    <xf numFmtId="164" fontId="3" fillId="0" borderId="0" xfId="0" applyNumberFormat="1" applyFont="1"/>
    <xf numFmtId="165" fontId="5" fillId="0" borderId="0" xfId="0" applyNumberFormat="1" applyFont="1"/>
    <xf numFmtId="3" fontId="5" fillId="0" borderId="0" xfId="0" applyNumberFormat="1" applyFont="1"/>
    <xf numFmtId="165" fontId="10" fillId="0" borderId="0" xfId="0" applyNumberFormat="1" applyFont="1" applyProtection="1">
      <protection locked="0"/>
    </xf>
    <xf numFmtId="164" fontId="11" fillId="0" borderId="0" xfId="0" applyNumberFormat="1" applyFont="1"/>
    <xf numFmtId="165" fontId="10" fillId="0" borderId="0" xfId="0" applyNumberFormat="1" applyFont="1"/>
    <xf numFmtId="0" fontId="5" fillId="2" borderId="1" xfId="0" applyFont="1" applyFill="1" applyBorder="1"/>
    <xf numFmtId="166" fontId="5" fillId="0" borderId="0" xfId="0" applyNumberFormat="1" applyFont="1"/>
    <xf numFmtId="1" fontId="5" fillId="0" borderId="0" xfId="0" applyNumberFormat="1" applyFont="1"/>
    <xf numFmtId="167" fontId="10" fillId="0" borderId="0" xfId="0" applyNumberFormat="1" applyFont="1" applyProtection="1">
      <protection locked="0"/>
    </xf>
    <xf numFmtId="168" fontId="5" fillId="0" borderId="0" xfId="0" applyNumberFormat="1" applyFont="1"/>
    <xf numFmtId="4" fontId="5" fillId="0" borderId="0" xfId="0" applyNumberFormat="1" applyFont="1"/>
    <xf numFmtId="169" fontId="15" fillId="0" borderId="0" xfId="0" applyNumberFormat="1" applyFont="1"/>
    <xf numFmtId="167" fontId="15" fillId="0" borderId="0" xfId="0" applyNumberFormat="1" applyFont="1"/>
    <xf numFmtId="167" fontId="5" fillId="0" borderId="0" xfId="0" applyNumberFormat="1" applyFont="1"/>
    <xf numFmtId="166" fontId="12" fillId="0" borderId="0" xfId="0" applyNumberFormat="1" applyFont="1" applyProtection="1">
      <protection locked="0"/>
    </xf>
    <xf numFmtId="164" fontId="13" fillId="0" borderId="0" xfId="0" applyNumberFormat="1" applyFont="1"/>
    <xf numFmtId="166" fontId="15" fillId="0" borderId="0" xfId="0" applyNumberFormat="1" applyFont="1"/>
    <xf numFmtId="10" fontId="15" fillId="0" borderId="0" xfId="0" applyNumberFormat="1" applyFont="1"/>
    <xf numFmtId="0" fontId="17" fillId="0" borderId="0" xfId="0" applyFont="1"/>
    <xf numFmtId="10" fontId="5" fillId="0" borderId="0" xfId="0" applyNumberFormat="1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3" fontId="3" fillId="0" borderId="0" xfId="0" applyNumberFormat="1" applyFont="1"/>
    <xf numFmtId="169" fontId="5" fillId="0" borderId="0" xfId="0" applyNumberFormat="1" applyFont="1"/>
    <xf numFmtId="165" fontId="5" fillId="2" borderId="1" xfId="0" applyNumberFormat="1" applyFont="1" applyFill="1" applyBorder="1"/>
    <xf numFmtId="164" fontId="11" fillId="2" borderId="1" xfId="0" applyNumberFormat="1" applyFont="1" applyFill="1" applyBorder="1"/>
    <xf numFmtId="170" fontId="10" fillId="0" borderId="0" xfId="0" applyNumberFormat="1" applyFont="1" applyProtection="1">
      <protection locked="0"/>
    </xf>
    <xf numFmtId="170" fontId="5" fillId="0" borderId="0" xfId="0" applyNumberFormat="1" applyFont="1"/>
    <xf numFmtId="4" fontId="10" fillId="0" borderId="0" xfId="0" applyNumberFormat="1" applyFont="1" applyProtection="1">
      <protection locked="0"/>
    </xf>
    <xf numFmtId="169" fontId="10" fillId="0" borderId="0" xfId="0" applyNumberFormat="1" applyFont="1" applyProtection="1">
      <protection locked="0"/>
    </xf>
    <xf numFmtId="165" fontId="5" fillId="0" borderId="0" xfId="0" applyNumberFormat="1" applyFont="1" applyProtection="1">
      <protection locked="0"/>
    </xf>
    <xf numFmtId="164" fontId="3" fillId="2" borderId="1" xfId="0" applyNumberFormat="1" applyFont="1" applyFill="1" applyBorder="1"/>
    <xf numFmtId="171" fontId="5" fillId="0" borderId="0" xfId="0" applyNumberFormat="1" applyFont="1"/>
    <xf numFmtId="2" fontId="10" fillId="0" borderId="0" xfId="0" applyNumberFormat="1" applyFont="1" applyProtection="1">
      <protection locked="0"/>
    </xf>
    <xf numFmtId="1" fontId="10" fillId="0" borderId="0" xfId="0" applyNumberFormat="1" applyFont="1" applyProtection="1">
      <protection locked="0"/>
    </xf>
    <xf numFmtId="9" fontId="10" fillId="0" borderId="0" xfId="0" applyNumberFormat="1" applyFont="1" applyProtection="1">
      <protection locked="0"/>
    </xf>
    <xf numFmtId="172" fontId="5" fillId="3" borderId="0" xfId="0" applyNumberFormat="1" applyFont="1" applyFill="1" applyBorder="1"/>
    <xf numFmtId="173" fontId="5" fillId="3" borderId="0" xfId="0" applyNumberFormat="1" applyFont="1" applyFill="1" applyBorder="1"/>
    <xf numFmtId="173" fontId="5" fillId="0" borderId="0" xfId="0" applyNumberFormat="1" applyFont="1"/>
    <xf numFmtId="171" fontId="10" fillId="0" borderId="0" xfId="0" applyNumberFormat="1" applyFont="1" applyProtection="1">
      <protection locked="0"/>
    </xf>
    <xf numFmtId="1" fontId="3" fillId="2" borderId="1" xfId="0" applyNumberFormat="1" applyFont="1" applyFill="1" applyBorder="1"/>
    <xf numFmtId="0" fontId="19" fillId="0" borderId="0" xfId="0" applyFont="1"/>
    <xf numFmtId="0" fontId="5" fillId="0" borderId="0" xfId="0" applyFont="1" applyAlignment="1">
      <alignment horizontal="right"/>
    </xf>
    <xf numFmtId="0" fontId="0" fillId="0" borderId="2" xfId="0" applyBorder="1"/>
    <xf numFmtId="0" fontId="5" fillId="0" borderId="2" xfId="0" applyFont="1" applyBorder="1" applyAlignment="1">
      <alignment horizontal="center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24" fillId="2" borderId="1" xfId="0" applyFont="1" applyFill="1" applyBorder="1"/>
    <xf numFmtId="0" fontId="0" fillId="2" borderId="1" xfId="0" applyFill="1" applyBorder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470550</xdr:colOff>
      <xdr:row>96</xdr:row>
      <xdr:rowOff>5029</xdr:rowOff>
    </xdr:from>
    <xdr:ext cx="2680929" cy="1637324"/>
    <xdr:sp macro="" textlink="">
      <xdr:nvSpPr>
        <xdr:cNvPr id="2" name="Text 1"/>
        <xdr:cNvSpPr/>
      </xdr:nvSpPr>
      <xdr:spPr>
        <a:xfrm>
          <a:off x="6347475" y="18931204"/>
          <a:ext cx="2680929" cy="1637324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0" tIns="0" rIns="0" bIns="0" anchor="t" anchorCtr="0" compatLnSpc="0">
          <a:noAutofit/>
        </a:bodyPr>
        <a:lstStyle/>
        <a:p>
          <a:pPr lvl="0" algn="l" rtl="0" hangingPunct="0">
            <a:buNone/>
            <a:tabLst/>
          </a:pPr>
          <a:r>
            <a:rPr lang="en-US" sz="1000" b="1" i="1" u="none" strike="noStrike" kern="1200" baseline="0">
              <a:ln>
                <a:noFill/>
              </a:ln>
              <a:latin typeface="Arial" pitchFamily="34"/>
              <a:cs typeface="Arial" pitchFamily="34"/>
            </a:rPr>
            <a:t>*Front Roll Couple</a:t>
          </a:r>
          <a:r>
            <a:rPr lang="en-US" sz="1000" b="0" i="1" u="none" strike="noStrike" kern="1200" baseline="0">
              <a:ln>
                <a:noFill/>
              </a:ln>
              <a:latin typeface="Arial" pitchFamily="34"/>
              <a:cs typeface="Arial" pitchFamily="34"/>
            </a:rPr>
            <a:t> Percentage describes lateral load transfer distribution front to rear and subsequently handling balance. It is the effective wheel rate, in roll, of each axle of the vehicle as a ratio of the vehicle's total roll rate. Higher than 50% means the front wheels take more weight during cornering and the handling progresses toward understeer but for most cars around 60% gives balanced handling on the track and around 75% for autocross.</a:t>
          </a:r>
        </a:p>
      </xdr:txBody>
    </xdr:sp>
    <xdr:clientData/>
  </xdr:oneCellAnchor>
  <xdr:oneCellAnchor>
    <xdr:from>
      <xdr:col>4</xdr:col>
      <xdr:colOff>87873</xdr:colOff>
      <xdr:row>149</xdr:row>
      <xdr:rowOff>21579</xdr:rowOff>
    </xdr:from>
    <xdr:ext cx="3224905" cy="1257117"/>
    <xdr:sp macro="" textlink="">
      <xdr:nvSpPr>
        <xdr:cNvPr id="3" name="Text 23"/>
        <xdr:cNvSpPr/>
      </xdr:nvSpPr>
      <xdr:spPr>
        <a:xfrm>
          <a:off x="3354948" y="27529779"/>
          <a:ext cx="3224905" cy="1257117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solidFill>
          <a:srgbClr val="FFFFFF"/>
        </a:solidFill>
        <a:ln>
          <a:noFill/>
          <a:prstDash val="solid"/>
        </a:ln>
      </xdr:spPr>
      <xdr:txBody>
        <a:bodyPr vert="horz" wrap="square" lIns="20116" tIns="20116" rIns="20116" bIns="20116" anchor="t" anchorCtr="0" compatLnSpc="0">
          <a:noAutofit/>
        </a:bodyPr>
        <a:lstStyle/>
        <a:p>
          <a:pPr lvl="0" algn="l" rtl="0" hangingPunct="0">
            <a:buNone/>
            <a:tabLst/>
          </a:pPr>
          <a:r>
            <a:rPr lang="en-US" sz="1000" b="0" i="1" u="none" strike="noStrike" kern="1200" baseline="0">
              <a:ln>
                <a:noFill/>
              </a:ln>
              <a:latin typeface="Arial" pitchFamily="34"/>
              <a:cs typeface="Arial" pitchFamily="34"/>
            </a:rPr>
            <a:t>*These correction factors (CF) are used by dyno shops to correct for nonstandard temperature, barometric pressure and humidity. SAE J1349 standard day is 77F, 29.23inHg pressure, 0% Relative Humidity. Motorsports Standard Atmosphere is 60F, 29.92 and 0% humidity. STD standard day is 68F, 29.92 and 0% humidity. Multiply your uncorrected dyno horsepower by the Correction Factor to get your corrected horsepower.</a:t>
          </a:r>
        </a:p>
        <a:p>
          <a:pPr lvl="0" algn="l" rtl="0" hangingPunct="0">
            <a:buNone/>
            <a:tabLst/>
          </a:pPr>
          <a:endParaRPr lang="en-US" sz="1000" b="0" i="1" u="none" strike="noStrike" kern="1200" baseline="0">
            <a:ln>
              <a:noFill/>
            </a:ln>
            <a:latin typeface="Arial" pitchFamily="34"/>
            <a:cs typeface="Arial" pitchFamily="34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77724" y="536021"/>
    <xdr:ext cx="6392204" cy="9798161"/>
    <xdr:sp macro="" textlink="">
      <xdr:nvSpPr>
        <xdr:cNvPr id="2" name="Text 1"/>
        <xdr:cNvSpPr/>
      </xdr:nvSpPr>
      <xdr:spPr>
        <a:xfrm>
          <a:off x="77724" y="536021"/>
          <a:ext cx="6392204" cy="9798161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0" tIns="0" rIns="0" bIns="0" anchor="t" anchorCtr="0" compatLnSpc="0">
          <a:noAutofit/>
        </a:bodyPr>
        <a:lstStyle/>
        <a:p>
          <a:pPr lvl="0" algn="l" rtl="0" hangingPunct="0">
            <a:buNone/>
            <a:tabLst/>
          </a:pPr>
          <a:r>
            <a:rPr lang="en-US" sz="1200" b="1" i="0" u="none" strike="noStrike" kern="1200" baseline="0">
              <a:ln>
                <a:noFill/>
              </a:ln>
              <a:solidFill>
                <a:srgbClr val="6666FF"/>
              </a:solidFill>
              <a:latin typeface="Calibri" pitchFamily="18"/>
            </a:rPr>
            <a:t>Simply enter the values in blue.</a:t>
          </a:r>
          <a:r>
            <a:rPr lang="en-US" sz="1200" b="1" i="0" u="none" strike="noStrike" kern="1200" baseline="0">
              <a:ln>
                <a:noFill/>
              </a:ln>
              <a:latin typeface="Calibri" pitchFamily="18"/>
            </a:rPr>
            <a:t> All the numbers in black are automatically calculated.</a:t>
          </a:r>
        </a:p>
        <a:p>
          <a:pPr lvl="0" algn="l" rtl="0" hangingPunct="0">
            <a:buNone/>
            <a:tabLst/>
          </a:pPr>
          <a:r>
            <a:rPr lang="en-US" sz="1200" b="0" i="0" u="none" strike="noStrike" kern="1200" baseline="0">
              <a:ln>
                <a:noFill/>
              </a:ln>
              <a:latin typeface="Calibri" pitchFamily="18"/>
            </a:rPr>
            <a:t>The </a:t>
          </a:r>
          <a:r>
            <a:rPr lang="en-US" sz="1200" b="1" i="1" u="none" strike="noStrike" kern="1200" baseline="0">
              <a:ln>
                <a:noFill/>
              </a:ln>
              <a:latin typeface="Calibri" pitchFamily="18"/>
            </a:rPr>
            <a:t>Suspension Tuning Spreadsheet</a:t>
          </a:r>
          <a:r>
            <a:rPr lang="en-US" sz="1200" b="0" i="0" u="none" strike="noStrike" kern="1200" baseline="0">
              <a:ln>
                <a:noFill/>
              </a:ln>
              <a:latin typeface="Calibri" pitchFamily="18"/>
            </a:rPr>
            <a:t> allows you to analyze and design automobile spring and sway bar rates. After entering car and suspension values it calculates:</a:t>
          </a:r>
        </a:p>
        <a:p>
          <a:pPr lvl="0" algn="l" rtl="0" hangingPunct="0">
            <a:buNone/>
            <a:tabLst/>
          </a:pPr>
          <a:r>
            <a:rPr lang="en-US" sz="1200" b="1" i="0" u="none" strike="noStrike" kern="1200" baseline="0">
              <a:ln>
                <a:noFill/>
              </a:ln>
              <a:latin typeface="Calibri" pitchFamily="18"/>
            </a:rPr>
            <a:t>Front Roll Couple Percentage </a:t>
          </a:r>
          <a:r>
            <a:rPr lang="en-US" sz="1200" b="0" i="0" u="none" strike="noStrike" kern="1200" baseline="0">
              <a:ln>
                <a:noFill/>
              </a:ln>
              <a:latin typeface="Calibri" pitchFamily="18"/>
            </a:rPr>
            <a:t>describes lateral load transfer distribution front to rear and subsequently the handling balance. It is the front roll stiffness divided by the total roll stiffness which is a ratio, front to rear, of the vehicle's total roll rate. Higher than 50% means the front wheels take more weight while cornering and the handling progresses toward understeer but for most cars around 55% gives balanced handling on the track while approximately 75% is best for autocross. For powerful cars a higher FRC% can help prevent power-on oversteer so a Honda S2000 will typically need a higher FRC% than a Miata.</a:t>
          </a:r>
        </a:p>
        <a:p>
          <a:pPr lvl="0" algn="l" rtl="0" hangingPunct="0">
            <a:buNone/>
            <a:tabLst/>
          </a:pPr>
          <a:r>
            <a:rPr lang="en-US" sz="1200" b="1" i="0" u="none" strike="noStrike" kern="1200" baseline="0">
              <a:ln>
                <a:noFill/>
              </a:ln>
              <a:latin typeface="Calibri" pitchFamily="18"/>
            </a:rPr>
            <a:t>Roll Stiffness Front, Rear and Total</a:t>
          </a:r>
          <a:r>
            <a:rPr lang="en-US" sz="1200" b="0" i="0" u="none" strike="noStrike" kern="1200" baseline="0">
              <a:ln>
                <a:noFill/>
              </a:ln>
              <a:latin typeface="Calibri" pitchFamily="18"/>
            </a:rPr>
            <a:t> (given in pound-feet at the wheel per degree of chassis roll) describes the chassis resistance to roll during cornering. It is determined using track width and suspension </a:t>
          </a:r>
          <a:r>
            <a:rPr lang="en-US" sz="1200" b="1" i="0" u="none" strike="noStrike" kern="1200" baseline="0">
              <a:ln>
                <a:noFill/>
              </a:ln>
              <a:latin typeface="Calibri" pitchFamily="18"/>
            </a:rPr>
            <a:t>and sway bar</a:t>
          </a:r>
          <a:r>
            <a:rPr lang="en-US" sz="1200" b="0" i="0" u="none" strike="noStrike" kern="1200" baseline="0">
              <a:ln>
                <a:noFill/>
              </a:ln>
              <a:latin typeface="Calibri" pitchFamily="18"/>
            </a:rPr>
            <a:t> wheel rates but </a:t>
          </a:r>
          <a:r>
            <a:rPr lang="en-US" sz="1200" b="1" i="0" u="none" strike="noStrike" kern="1200" baseline="0">
              <a:ln>
                <a:noFill/>
              </a:ln>
              <a:latin typeface="Calibri" pitchFamily="18"/>
            </a:rPr>
            <a:t>does not consider roll center and center of gravity</a:t>
          </a:r>
          <a:r>
            <a:rPr lang="en-US" sz="1200" b="0" i="0" u="none" strike="noStrike" kern="1200" baseline="0">
              <a:ln>
                <a:noFill/>
              </a:ln>
              <a:latin typeface="Calibri" pitchFamily="18"/>
            </a:rPr>
            <a:t>.</a:t>
          </a:r>
        </a:p>
        <a:p>
          <a:pPr lvl="0" algn="l" rtl="0" hangingPunct="0">
            <a:buNone/>
            <a:tabLst/>
          </a:pPr>
          <a:r>
            <a:rPr lang="en-US" sz="1200" b="1" i="0" u="none" strike="noStrike" kern="1200" baseline="0">
              <a:ln>
                <a:noFill/>
              </a:ln>
              <a:latin typeface="Calibri" pitchFamily="18"/>
            </a:rPr>
            <a:t>Suspension Frequency</a:t>
          </a:r>
          <a:r>
            <a:rPr lang="en-US" sz="1200" b="0" i="0" u="none" strike="noStrike" kern="1200" baseline="0">
              <a:ln>
                <a:noFill/>
              </a:ln>
              <a:latin typeface="Calibri" pitchFamily="18"/>
            </a:rPr>
            <a:t> is the natural oscillation frequency of the suspension. It is determined using only unsprung weight and wheel rate but </a:t>
          </a:r>
          <a:r>
            <a:rPr lang="en-US" sz="1200" b="1" i="0" u="none" strike="noStrike" kern="1200" baseline="0">
              <a:ln>
                <a:noFill/>
              </a:ln>
              <a:latin typeface="Calibri" pitchFamily="18"/>
            </a:rPr>
            <a:t>damping and sway bars are not factored into the suspension frequency</a:t>
          </a:r>
          <a:r>
            <a:rPr lang="en-US" sz="1200" b="0" i="0" u="none" strike="noStrike" kern="1200" baseline="0">
              <a:ln>
                <a:noFill/>
              </a:ln>
              <a:latin typeface="Calibri" pitchFamily="18"/>
            </a:rPr>
            <a:t>. The stiffer the springs the higher (faster) the suspension frequency.  Street cars typically run around 1.3Hz and race cars typically come in around 2Hz. You would typically want a lower suspension frequency for a bumpier race track because large bumps require a lower suspension frequency to comply with the road surface.</a:t>
          </a:r>
        </a:p>
        <a:p>
          <a:pPr lvl="0" algn="l" rtl="0" hangingPunct="0">
            <a:buNone/>
            <a:tabLst/>
          </a:pPr>
          <a:r>
            <a:rPr lang="en-US" sz="1200" b="1" i="0" u="none" strike="noStrike" kern="1200" baseline="0">
              <a:ln>
                <a:noFill/>
              </a:ln>
              <a:latin typeface="Calibri" pitchFamily="18"/>
            </a:rPr>
            <a:t>Spring Angle Correction Factor</a:t>
          </a:r>
          <a:r>
            <a:rPr lang="en-US" sz="1200" b="0" i="0" u="none" strike="noStrike" kern="1200" baseline="0">
              <a:ln>
                <a:noFill/>
              </a:ln>
              <a:latin typeface="Calibri" pitchFamily="18"/>
            </a:rPr>
            <a:t> compensates for the leverage applied to shocks that are not perpendicular to the lower arm (at static rest height).</a:t>
          </a:r>
        </a:p>
        <a:p>
          <a:pPr lvl="0" algn="l" rtl="0" hangingPunct="0">
            <a:buNone/>
            <a:tabLst/>
          </a:pPr>
          <a:r>
            <a:rPr lang="en-US" sz="1200" b="1" i="0" u="none" strike="noStrike" kern="1200" baseline="0">
              <a:ln>
                <a:noFill/>
              </a:ln>
              <a:latin typeface="Calibri" pitchFamily="18"/>
            </a:rPr>
            <a:t>Suspension Wheel Rate</a:t>
          </a:r>
          <a:r>
            <a:rPr lang="en-US" sz="1200" b="0" i="0" u="none" strike="noStrike" kern="1200" baseline="0">
              <a:ln>
                <a:noFill/>
              </a:ln>
              <a:latin typeface="Calibri" pitchFamily="18"/>
            </a:rPr>
            <a:t> applies the spring rate to the leverage of the suspension motion ratio. The wheel rate is always lower than the spring rate.</a:t>
          </a:r>
        </a:p>
        <a:p>
          <a:pPr lvl="0" algn="l" rtl="0" hangingPunct="0">
            <a:buNone/>
            <a:tabLst/>
          </a:pPr>
          <a:r>
            <a:rPr lang="en-US" sz="1200" b="1" i="0" u="none" strike="noStrike" kern="1200" baseline="0">
              <a:ln>
                <a:noFill/>
              </a:ln>
              <a:latin typeface="Calibri" pitchFamily="18"/>
            </a:rPr>
            <a:t>Sway Bar Wheel Rate</a:t>
          </a:r>
          <a:r>
            <a:rPr lang="en-US" sz="1200" b="0" i="0" u="none" strike="noStrike" kern="1200" baseline="0">
              <a:ln>
                <a:noFill/>
              </a:ln>
              <a:latin typeface="Calibri" pitchFamily="18"/>
            </a:rPr>
            <a:t> applies the sway bar rate to the leverage of the sway bar motion ratio. The sway bar wheel rate is always lower than the sway bar rate.</a:t>
          </a:r>
        </a:p>
        <a:p>
          <a:pPr lvl="0" algn="l" rtl="0" hangingPunct="0">
            <a:buNone/>
            <a:tabLst/>
          </a:pPr>
          <a:r>
            <a:rPr lang="en-US" sz="1200" b="1" i="0" u="none" strike="noStrike" kern="1200" baseline="0">
              <a:ln>
                <a:noFill/>
              </a:ln>
              <a:latin typeface="Calibri" pitchFamily="18"/>
            </a:rPr>
            <a:t>Bump Stop Wheel Rate</a:t>
          </a:r>
          <a:r>
            <a:rPr lang="en-US" sz="1200" b="0" i="0" u="none" strike="noStrike" kern="1200" baseline="0">
              <a:ln>
                <a:noFill/>
              </a:ln>
              <a:latin typeface="Calibri" pitchFamily="18"/>
            </a:rPr>
            <a:t> applies the bump stop rate to the leverage of the suspension motion ratio. The bump stop wheel rate is always lower than the bump stop rate. The </a:t>
          </a:r>
          <a:r>
            <a:rPr lang="en-US" sz="1200" b="0" i="1" u="none" strike="noStrike" kern="1200" baseline="0">
              <a:ln>
                <a:noFill/>
              </a:ln>
              <a:latin typeface="Calibri" pitchFamily="18"/>
            </a:rPr>
            <a:t>Suspension Tuning Spreadsheet</a:t>
          </a:r>
          <a:r>
            <a:rPr lang="en-US" sz="1200" b="0" i="0" u="none" strike="noStrike" kern="1200" baseline="0">
              <a:ln>
                <a:noFill/>
              </a:ln>
              <a:latin typeface="Calibri" pitchFamily="18"/>
            </a:rPr>
            <a:t> assumes the bumpstops are located on the shock shaft.</a:t>
          </a:r>
        </a:p>
        <a:p>
          <a:pPr lvl="0" algn="l" rtl="0" hangingPunct="0">
            <a:buNone/>
            <a:tabLst/>
          </a:pPr>
          <a:endParaRPr lang="en-US" sz="1200" b="0" i="0" u="none" strike="noStrike" kern="1200" baseline="0">
            <a:ln>
              <a:noFill/>
            </a:ln>
            <a:latin typeface="Calibri" pitchFamily="18"/>
          </a:endParaRPr>
        </a:p>
      </xdr:txBody>
    </xdr:sp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102961" y="13777539"/>
    <xdr:ext cx="8934510" cy="2485064"/>
    <xdr:pic>
      <xdr:nvPicPr>
        <xdr:cNvPr id="2" name="Image 2"/>
        <xdr:cNvPicPr>
          <a:picLocks noChangeAspect="1"/>
        </xdr:cNvPicPr>
      </xdr:nvPicPr>
      <xdr:blipFill>
        <a:blip xmlns:r="http://schemas.openxmlformats.org/officeDocument/2006/relationships" r:embed="rId1">
          <a:lum bright="-50000"/>
          <a:alphaModFix/>
        </a:blip>
        <a:srcRect/>
        <a:stretch>
          <a:fillRect/>
        </a:stretch>
      </xdr:blipFill>
      <xdr:spPr>
        <a:xfrm>
          <a:off x="102961" y="13777539"/>
          <a:ext cx="8934510" cy="2485064"/>
        </a:xfrm>
        <a:prstGeom prst="rect">
          <a:avLst/>
        </a:prstGeom>
        <a:noFill/>
        <a:ln>
          <a:noFill/>
        </a:ln>
      </xdr:spPr>
    </xdr:pic>
    <xdr:clientData/>
  </xdr:absoluteAnchor>
  <xdr:absoluteAnchor>
    <xdr:pos x="150876" y="5978530"/>
    <xdr:ext cx="7971464" cy="3305190"/>
    <xdr:pic>
      <xdr:nvPicPr>
        <xdr:cNvPr id="3" name="Image 3"/>
        <xdr:cNvPicPr>
          <a:picLocks noChangeAspect="1"/>
        </xdr:cNvPicPr>
      </xdr:nvPicPr>
      <xdr:blipFill>
        <a:blip xmlns:r="http://schemas.openxmlformats.org/officeDocument/2006/relationships" r:embed="rId2">
          <a:lum bright="-50000"/>
          <a:alphaModFix/>
        </a:blip>
        <a:srcRect/>
        <a:stretch>
          <a:fillRect/>
        </a:stretch>
      </xdr:blipFill>
      <xdr:spPr>
        <a:xfrm>
          <a:off x="150876" y="5978530"/>
          <a:ext cx="7971464" cy="3305190"/>
        </a:xfrm>
        <a:prstGeom prst="rect">
          <a:avLst/>
        </a:prstGeom>
        <a:noFill/>
        <a:ln>
          <a:noFill/>
        </a:ln>
      </xdr:spPr>
    </xdr:pic>
    <xdr:clientData/>
  </xdr:absoluteAnchor>
  <xdr:absoluteAnchor>
    <xdr:pos x="195132" y="132862"/>
    <xdr:ext cx="6095481" cy="4489521"/>
    <xdr:pic>
      <xdr:nvPicPr>
        <xdr:cNvPr id="4" name="Image 1"/>
        <xdr:cNvPicPr>
          <a:picLocks noChangeAspect="1"/>
        </xdr:cNvPicPr>
      </xdr:nvPicPr>
      <xdr:blipFill>
        <a:blip xmlns:r="http://schemas.openxmlformats.org/officeDocument/2006/relationships" r:embed="rId3">
          <a:lum bright="-50000"/>
          <a:alphaModFix/>
        </a:blip>
        <a:srcRect/>
        <a:stretch>
          <a:fillRect/>
        </a:stretch>
      </xdr:blipFill>
      <xdr:spPr>
        <a:xfrm>
          <a:off x="195132" y="132862"/>
          <a:ext cx="6095481" cy="4489521"/>
        </a:xfrm>
        <a:prstGeom prst="rect">
          <a:avLst/>
        </a:prstGeom>
        <a:noFill/>
        <a:ln>
          <a:noFill/>
        </a:ln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robrobinette.com/misc/automath.xls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W176"/>
  <sheetViews>
    <sheetView tabSelected="1" topLeftCell="A64" workbookViewId="0">
      <selection activeCell="A67" sqref="A67"/>
    </sheetView>
  </sheetViews>
  <sheetFormatPr defaultRowHeight="12.75" customHeight="1" x14ac:dyDescent="0.2"/>
  <cols>
    <col min="1" max="1" width="10.625" style="4" customWidth="1"/>
    <col min="2" max="2" width="11" style="4" customWidth="1"/>
    <col min="3" max="4" width="10.625" style="4" customWidth="1"/>
    <col min="5" max="5" width="12.125" style="4" customWidth="1"/>
    <col min="6" max="6" width="11.5" style="4" customWidth="1"/>
    <col min="7" max="8" width="10.625" style="4" customWidth="1"/>
    <col min="9" max="9" width="10" style="4" customWidth="1"/>
    <col min="10" max="257" width="10.625" style="4" customWidth="1"/>
    <col min="258" max="1024" width="10.625" customWidth="1"/>
  </cols>
  <sheetData>
    <row r="1" spans="1:9" s="2" customFormat="1" ht="22.15" customHeight="1" x14ac:dyDescent="0.35">
      <c r="A1" s="1" t="s">
        <v>0</v>
      </c>
    </row>
    <row r="2" spans="1:9" ht="12.75" customHeight="1" x14ac:dyDescent="0.2">
      <c r="A2" s="3"/>
    </row>
    <row r="3" spans="1:9" ht="12.95" customHeight="1" x14ac:dyDescent="0.2">
      <c r="A3" s="5" t="s">
        <v>1</v>
      </c>
      <c r="C3" s="5" t="s">
        <v>2</v>
      </c>
      <c r="I3" s="6" t="s">
        <v>3</v>
      </c>
    </row>
    <row r="4" spans="1:9" ht="12.95" customHeight="1" x14ac:dyDescent="0.2">
      <c r="A4" s="7" t="s">
        <v>201</v>
      </c>
      <c r="G4" s="5"/>
    </row>
    <row r="5" spans="1:9" ht="12.75" customHeight="1" x14ac:dyDescent="0.2">
      <c r="A5" s="3"/>
    </row>
    <row r="6" spans="1:9" ht="12.75" customHeight="1" x14ac:dyDescent="0.2">
      <c r="A6" s="8">
        <v>3730</v>
      </c>
      <c r="B6" s="9" t="s">
        <v>172</v>
      </c>
    </row>
    <row r="7" spans="1:9" ht="15" customHeight="1" x14ac:dyDescent="0.25">
      <c r="A7" s="10">
        <v>230</v>
      </c>
      <c r="B7" s="11" t="s">
        <v>4</v>
      </c>
    </row>
    <row r="8" spans="1:9" ht="12.75" customHeight="1" x14ac:dyDescent="0.2">
      <c r="A8" s="3">
        <v>0</v>
      </c>
      <c r="B8" s="4" t="s">
        <v>5</v>
      </c>
      <c r="D8" s="8">
        <v>15.5</v>
      </c>
      <c r="E8" s="12" t="s">
        <v>6</v>
      </c>
      <c r="F8"/>
    </row>
    <row r="9" spans="1:9" ht="12.75" customHeight="1" x14ac:dyDescent="0.2">
      <c r="A9" s="3">
        <f>SUM(A6:A8)</f>
        <v>3960</v>
      </c>
      <c r="B9" s="4" t="s">
        <v>7</v>
      </c>
    </row>
    <row r="10" spans="1:9" ht="12.75" customHeight="1" x14ac:dyDescent="0.2">
      <c r="A10" s="13">
        <v>0.54</v>
      </c>
      <c r="B10" s="9" t="s">
        <v>8</v>
      </c>
    </row>
    <row r="11" spans="1:9" ht="12.75" customHeight="1" x14ac:dyDescent="0.2">
      <c r="A11" s="14">
        <f>1-DistributionFront</f>
        <v>0.45999999999999996</v>
      </c>
      <c r="B11" s="15" t="s">
        <v>9</v>
      </c>
    </row>
    <row r="12" spans="1:9" ht="12.75" customHeight="1" x14ac:dyDescent="0.2">
      <c r="A12" s="16">
        <f>TotalCarWeight*DistributionFront-FuelWeight/2</f>
        <v>2138.4</v>
      </c>
      <c r="B12" s="15" t="s">
        <v>10</v>
      </c>
    </row>
    <row r="13" spans="1:9" ht="12.75" customHeight="1" x14ac:dyDescent="0.2">
      <c r="A13" s="16">
        <f>TotalCarWeight*DistributionRear+FuelWeight/2</f>
        <v>1821.6</v>
      </c>
      <c r="B13" s="15" t="s">
        <v>11</v>
      </c>
    </row>
    <row r="14" spans="1:9" ht="12.75" customHeight="1" x14ac:dyDescent="0.2">
      <c r="A14" s="17"/>
      <c r="B14" s="15"/>
    </row>
    <row r="15" spans="1:9" ht="12.75" customHeight="1" x14ac:dyDescent="0.2">
      <c r="A15" s="18">
        <v>63.7</v>
      </c>
      <c r="B15" s="19" t="s">
        <v>173</v>
      </c>
    </row>
    <row r="16" spans="1:9" ht="15" customHeight="1" x14ac:dyDescent="0.2">
      <c r="A16" s="18">
        <v>66.400000000000006</v>
      </c>
      <c r="B16" s="19" t="s">
        <v>174</v>
      </c>
    </row>
    <row r="17" spans="1:3" ht="12.75" customHeight="1" x14ac:dyDescent="0.2">
      <c r="A17" s="20"/>
      <c r="B17" s="19"/>
    </row>
    <row r="18" spans="1:3" s="2" customFormat="1" ht="12.75" customHeight="1" x14ac:dyDescent="0.2">
      <c r="A18" s="21" t="s">
        <v>12</v>
      </c>
    </row>
    <row r="19" spans="1:3" ht="12.75" customHeight="1" x14ac:dyDescent="0.2">
      <c r="A19" s="3"/>
      <c r="B19" s="5" t="s">
        <v>175</v>
      </c>
    </row>
    <row r="20" spans="1:3" ht="12.75" customHeight="1" x14ac:dyDescent="0.2">
      <c r="B20" s="8">
        <v>23</v>
      </c>
      <c r="C20" s="9" t="s">
        <v>13</v>
      </c>
    </row>
    <row r="21" spans="1:3" ht="12.75" customHeight="1" x14ac:dyDescent="0.2">
      <c r="B21" s="8">
        <v>27</v>
      </c>
      <c r="C21" s="9" t="s">
        <v>14</v>
      </c>
    </row>
    <row r="22" spans="1:3" ht="12.75" customHeight="1" x14ac:dyDescent="0.2">
      <c r="B22" s="8">
        <v>19.3</v>
      </c>
      <c r="C22" s="9" t="s">
        <v>15</v>
      </c>
    </row>
    <row r="23" spans="1:3" ht="12.75" customHeight="1" x14ac:dyDescent="0.2">
      <c r="B23" s="8">
        <v>11</v>
      </c>
      <c r="C23" s="9" t="s">
        <v>16</v>
      </c>
    </row>
    <row r="24" spans="1:3" ht="12.75" customHeight="1" x14ac:dyDescent="0.2">
      <c r="B24" s="8">
        <v>19.399999999999999</v>
      </c>
      <c r="C24" s="9" t="s">
        <v>17</v>
      </c>
    </row>
    <row r="25" spans="1:3" ht="12.75" customHeight="1" x14ac:dyDescent="0.2">
      <c r="B25" s="8">
        <v>47</v>
      </c>
      <c r="C25" s="9" t="s">
        <v>18</v>
      </c>
    </row>
    <row r="26" spans="1:3" ht="12.75" customHeight="1" x14ac:dyDescent="0.2">
      <c r="B26" s="8">
        <v>13.8</v>
      </c>
      <c r="C26" s="9" t="s">
        <v>19</v>
      </c>
    </row>
    <row r="27" spans="1:3" ht="12.75" customHeight="1" x14ac:dyDescent="0.2">
      <c r="B27" s="22">
        <f>SUM(B20:B26)*2</f>
        <v>321</v>
      </c>
      <c r="C27" s="3" t="s">
        <v>20</v>
      </c>
    </row>
    <row r="28" spans="1:3" ht="12.75" customHeight="1" x14ac:dyDescent="0.2">
      <c r="A28" s="16">
        <f>(FrontWeight-UnsprungFr)/2</f>
        <v>908.7</v>
      </c>
      <c r="B28" s="3" t="s">
        <v>21</v>
      </c>
      <c r="C28" s="3"/>
    </row>
    <row r="29" spans="1:3" ht="12.75" customHeight="1" x14ac:dyDescent="0.2">
      <c r="B29" s="12"/>
      <c r="C29" s="9"/>
    </row>
    <row r="30" spans="1:3" ht="12.75" customHeight="1" x14ac:dyDescent="0.2">
      <c r="B30" s="8">
        <v>23</v>
      </c>
      <c r="C30" s="9" t="s">
        <v>22</v>
      </c>
    </row>
    <row r="31" spans="1:3" ht="12.75" customHeight="1" x14ac:dyDescent="0.2">
      <c r="B31" s="8">
        <v>27</v>
      </c>
      <c r="C31" s="9" t="s">
        <v>23</v>
      </c>
    </row>
    <row r="32" spans="1:3" ht="12.75" customHeight="1" x14ac:dyDescent="0.2">
      <c r="B32" s="8">
        <v>20</v>
      </c>
      <c r="C32" s="9" t="s">
        <v>24</v>
      </c>
    </row>
    <row r="33" spans="1:3" ht="12.75" customHeight="1" x14ac:dyDescent="0.2">
      <c r="B33" s="8">
        <v>21.1</v>
      </c>
      <c r="C33" s="9" t="s">
        <v>25</v>
      </c>
    </row>
    <row r="34" spans="1:3" ht="12.75" customHeight="1" x14ac:dyDescent="0.2">
      <c r="B34" s="8">
        <v>15.2</v>
      </c>
      <c r="C34" s="9" t="s">
        <v>26</v>
      </c>
    </row>
    <row r="35" spans="1:3" ht="12.75" customHeight="1" x14ac:dyDescent="0.2">
      <c r="B35" s="8">
        <v>13</v>
      </c>
      <c r="C35" s="9" t="s">
        <v>27</v>
      </c>
    </row>
    <row r="36" spans="1:3" ht="12.75" customHeight="1" x14ac:dyDescent="0.2">
      <c r="B36" s="8">
        <v>21</v>
      </c>
      <c r="C36" s="9" t="s">
        <v>28</v>
      </c>
    </row>
    <row r="37" spans="1:3" ht="12.75" customHeight="1" x14ac:dyDescent="0.2">
      <c r="B37" s="8">
        <v>13</v>
      </c>
      <c r="C37" s="9" t="s">
        <v>29</v>
      </c>
    </row>
    <row r="38" spans="1:3" ht="12.75" customHeight="1" x14ac:dyDescent="0.2">
      <c r="B38" s="22">
        <f>SUM(B30:B37)*2</f>
        <v>306.60000000000002</v>
      </c>
      <c r="C38" s="3" t="s">
        <v>30</v>
      </c>
    </row>
    <row r="39" spans="1:3" ht="12.75" customHeight="1" x14ac:dyDescent="0.2">
      <c r="A39" s="16">
        <f>(RearWeight-UnsprungRr)/2</f>
        <v>757.5</v>
      </c>
      <c r="B39" s="3" t="s">
        <v>31</v>
      </c>
      <c r="C39" s="3"/>
    </row>
    <row r="40" spans="1:3" ht="12.75" customHeight="1" x14ac:dyDescent="0.2">
      <c r="A40" s="17"/>
      <c r="B40" s="3"/>
      <c r="C40" s="3"/>
    </row>
    <row r="41" spans="1:3" ht="12.75" customHeight="1" x14ac:dyDescent="0.2">
      <c r="A41" s="22">
        <f>UnsprungFr+UnsprungRr</f>
        <v>627.6</v>
      </c>
      <c r="B41" s="3" t="s">
        <v>176</v>
      </c>
      <c r="C41" s="3"/>
    </row>
    <row r="42" spans="1:3" ht="12.75" customHeight="1" x14ac:dyDescent="0.2">
      <c r="A42" s="23"/>
      <c r="B42" s="3"/>
      <c r="C42" s="3"/>
    </row>
    <row r="43" spans="1:3" ht="12.75" customHeight="1" x14ac:dyDescent="0.2">
      <c r="A43" s="22">
        <f>TotalCarWeight-UnsprungWeight</f>
        <v>3332.4</v>
      </c>
      <c r="B43" s="3" t="s">
        <v>202</v>
      </c>
    </row>
    <row r="45" spans="1:3" s="2" customFormat="1" ht="12.75" customHeight="1" x14ac:dyDescent="0.2">
      <c r="A45" s="21" t="s">
        <v>32</v>
      </c>
    </row>
    <row r="46" spans="1:3" ht="12.95" customHeight="1" x14ac:dyDescent="0.2">
      <c r="A46" s="24">
        <v>1</v>
      </c>
      <c r="B46" s="9" t="s">
        <v>177</v>
      </c>
    </row>
    <row r="47" spans="1:3" ht="12.95" customHeight="1" x14ac:dyDescent="0.2">
      <c r="A47" s="8">
        <v>1.5</v>
      </c>
      <c r="B47" s="9" t="s">
        <v>178</v>
      </c>
    </row>
    <row r="48" spans="1:3" ht="12.75" customHeight="1" x14ac:dyDescent="0.2">
      <c r="A48" s="25">
        <f>COS(RADIANS(SAFVFr))</f>
        <v>0.99965732497555726</v>
      </c>
      <c r="B48" s="4" t="s">
        <v>33</v>
      </c>
    </row>
    <row r="49" spans="1:10" ht="15" customHeight="1" x14ac:dyDescent="0.25">
      <c r="A49" s="10">
        <v>167</v>
      </c>
      <c r="B49" s="11" t="s">
        <v>203</v>
      </c>
    </row>
    <row r="50" spans="1:10" ht="12.75" customHeight="1" x14ac:dyDescent="0.2">
      <c r="A50" s="22">
        <f>MRFr^2*SpringRateFr*ACFFr</f>
        <v>166.94277327091805</v>
      </c>
      <c r="B50" s="4" t="s">
        <v>34</v>
      </c>
    </row>
    <row r="51" spans="1:10" ht="12.95" customHeight="1" x14ac:dyDescent="0.2">
      <c r="A51" s="26">
        <f>187.8*SQRT(WheelRateFr/SprungWeightFr)</f>
        <v>80.495042828354883</v>
      </c>
      <c r="B51" s="4" t="s">
        <v>35</v>
      </c>
    </row>
    <row r="52" spans="1:10" ht="17.100000000000001" customHeight="1" x14ac:dyDescent="0.25">
      <c r="A52" s="27">
        <f>SFFr/60</f>
        <v>1.3415840471392479</v>
      </c>
      <c r="B52" s="3" t="s">
        <v>36</v>
      </c>
    </row>
    <row r="53" spans="1:10" ht="12.75" customHeight="1" x14ac:dyDescent="0.2">
      <c r="A53" s="22"/>
    </row>
    <row r="54" spans="1:10" s="2" customFormat="1" ht="12.75" customHeight="1" x14ac:dyDescent="0.2">
      <c r="A54" s="21" t="s">
        <v>37</v>
      </c>
    </row>
    <row r="55" spans="1:10" ht="12.95" customHeight="1" x14ac:dyDescent="0.2">
      <c r="A55" s="24">
        <v>0.49199999999999999</v>
      </c>
      <c r="B55" s="9" t="s">
        <v>177</v>
      </c>
    </row>
    <row r="56" spans="1:10" ht="12.95" customHeight="1" x14ac:dyDescent="0.2">
      <c r="A56" s="8">
        <v>0</v>
      </c>
      <c r="B56" s="9" t="s">
        <v>178</v>
      </c>
    </row>
    <row r="57" spans="1:10" ht="12.75" customHeight="1" x14ac:dyDescent="0.2">
      <c r="A57" s="25">
        <f>COS(RADIANS(SAFVRr))</f>
        <v>1</v>
      </c>
      <c r="B57" s="4" t="s">
        <v>38</v>
      </c>
    </row>
    <row r="58" spans="1:10" ht="15" customHeight="1" x14ac:dyDescent="0.25">
      <c r="A58" s="10">
        <v>740</v>
      </c>
      <c r="B58" s="11" t="s">
        <v>203</v>
      </c>
    </row>
    <row r="59" spans="1:10" ht="12.75" customHeight="1" x14ac:dyDescent="0.2">
      <c r="A59" s="22">
        <f>MRRr^2*SpringRateRr*ACFRr</f>
        <v>179.12736000000001</v>
      </c>
      <c r="B59" s="4" t="s">
        <v>34</v>
      </c>
      <c r="J59"/>
    </row>
    <row r="60" spans="1:10" ht="12.95" customHeight="1" x14ac:dyDescent="0.2">
      <c r="A60" s="26">
        <f>187.8*SQRT(WheelRateRr/SprungWeightRr)</f>
        <v>91.324064472435438</v>
      </c>
      <c r="B60" s="4" t="s">
        <v>35</v>
      </c>
    </row>
    <row r="61" spans="1:10" ht="17.100000000000001" customHeight="1" x14ac:dyDescent="0.25">
      <c r="A61" s="27">
        <f>SFRr/60</f>
        <v>1.5220677412072574</v>
      </c>
      <c r="B61" s="3" t="s">
        <v>39</v>
      </c>
    </row>
    <row r="63" spans="1:10" ht="17.100000000000001" customHeight="1" x14ac:dyDescent="0.25">
      <c r="A63" s="28">
        <f>SFRrHz/SFFrHz</f>
        <v>1.1345302923457292</v>
      </c>
      <c r="B63" s="3" t="s">
        <v>179</v>
      </c>
    </row>
    <row r="64" spans="1:10" ht="14.65" customHeight="1" x14ac:dyDescent="0.2">
      <c r="A64" s="29"/>
      <c r="B64" s="3"/>
      <c r="C64" s="5" t="s">
        <v>40</v>
      </c>
    </row>
    <row r="65" spans="1:2" s="2" customFormat="1" ht="12.75" customHeight="1" x14ac:dyDescent="0.2">
      <c r="A65" s="21" t="s">
        <v>41</v>
      </c>
      <c r="B65" s="21"/>
    </row>
    <row r="66" spans="1:2" ht="15" customHeight="1" x14ac:dyDescent="0.25">
      <c r="A66" s="30">
        <v>377</v>
      </c>
      <c r="B66" s="31" t="s">
        <v>190</v>
      </c>
    </row>
    <row r="67" spans="1:2" ht="12.75" customHeight="1" x14ac:dyDescent="0.2">
      <c r="A67" s="24">
        <v>1</v>
      </c>
      <c r="B67" s="19" t="s">
        <v>181</v>
      </c>
    </row>
    <row r="68" spans="1:2" ht="12.75" customHeight="1" x14ac:dyDescent="0.2">
      <c r="A68" s="22">
        <f>A66*A67^2</f>
        <v>377</v>
      </c>
      <c r="B68" s="15" t="s">
        <v>180</v>
      </c>
    </row>
    <row r="69" spans="1:2" ht="15" customHeight="1" x14ac:dyDescent="0.25">
      <c r="A69" s="30">
        <v>123</v>
      </c>
      <c r="B69" s="31" t="s">
        <v>182</v>
      </c>
    </row>
    <row r="70" spans="1:2" ht="12.75" customHeight="1" x14ac:dyDescent="0.2">
      <c r="A70" s="24">
        <v>0.75</v>
      </c>
      <c r="B70" s="19" t="s">
        <v>183</v>
      </c>
    </row>
    <row r="71" spans="1:2" ht="12.75" customHeight="1" x14ac:dyDescent="0.2">
      <c r="A71" s="22">
        <f>A69*A70^2</f>
        <v>69.1875</v>
      </c>
      <c r="B71" s="15" t="s">
        <v>184</v>
      </c>
    </row>
    <row r="73" spans="1:2" s="2" customFormat="1" ht="12.75" customHeight="1" x14ac:dyDescent="0.2">
      <c r="A73" s="21" t="s">
        <v>42</v>
      </c>
    </row>
    <row r="74" spans="1:2" ht="15" customHeight="1" x14ac:dyDescent="0.2">
      <c r="A74" s="8">
        <v>200</v>
      </c>
      <c r="B74" s="9" t="s">
        <v>204</v>
      </c>
    </row>
    <row r="75" spans="1:2" ht="12.75" customHeight="1" x14ac:dyDescent="0.2">
      <c r="A75" s="22">
        <f>BumpFr*MRFr^2</f>
        <v>200</v>
      </c>
      <c r="B75" s="4" t="s">
        <v>43</v>
      </c>
    </row>
    <row r="76" spans="1:2" ht="12.75" customHeight="1" x14ac:dyDescent="0.2">
      <c r="A76" s="22"/>
      <c r="B76" s="5" t="s">
        <v>44</v>
      </c>
    </row>
    <row r="77" spans="1:2" ht="17.100000000000001" customHeight="1" x14ac:dyDescent="0.25">
      <c r="A77" s="32">
        <f>(12*PI()*(TrackFr/12)^2*WheelRateFr)/(180*2)+SwayWheelFr</f>
        <v>869.62065157798156</v>
      </c>
      <c r="B77" s="3" t="s">
        <v>45</v>
      </c>
    </row>
    <row r="78" spans="1:2" ht="12.75" customHeight="1" x14ac:dyDescent="0.2">
      <c r="A78" s="22">
        <f>(12*PI()*(TrackFr/12)^2*WheelRateFr)/(180*2)+SwayWheelFr+BumpWheelFr</f>
        <v>1069.6206515779816</v>
      </c>
      <c r="B78" s="3" t="s">
        <v>46</v>
      </c>
    </row>
    <row r="79" spans="1:2" ht="15" customHeight="1" x14ac:dyDescent="0.2">
      <c r="A79" s="8">
        <v>100</v>
      </c>
      <c r="B79" s="9" t="s">
        <v>205</v>
      </c>
    </row>
    <row r="80" spans="1:2" ht="12.75" customHeight="1" x14ac:dyDescent="0.2">
      <c r="A80" s="22">
        <f>BumpRr*MRRr^2</f>
        <v>24.206399999999999</v>
      </c>
      <c r="B80" s="4" t="s">
        <v>47</v>
      </c>
    </row>
    <row r="81" spans="1:11" ht="17.100000000000001" customHeight="1" x14ac:dyDescent="0.25">
      <c r="A81" s="32">
        <f>(12*PI()*(TrackRr/12)^2*WheelRateRr)/(180*2)+SwayWheelRr</f>
        <v>643.5210808335828</v>
      </c>
      <c r="B81" s="3" t="s">
        <v>48</v>
      </c>
    </row>
    <row r="82" spans="1:11" ht="12.75" customHeight="1" x14ac:dyDescent="0.2">
      <c r="A82" s="22">
        <f>(12*PI()*(TrackRr/12)^2*WheelRateRr)/(180*2)+SwayWheelRr+BumpWheelRr</f>
        <v>667.72748083358283</v>
      </c>
      <c r="B82" s="3" t="s">
        <v>49</v>
      </c>
    </row>
    <row r="83" spans="1:11" ht="17.100000000000001" customHeight="1" x14ac:dyDescent="0.25">
      <c r="A83" s="32">
        <f>A77+A81</f>
        <v>1513.1417324115644</v>
      </c>
      <c r="B83" s="3" t="s">
        <v>50</v>
      </c>
    </row>
    <row r="84" spans="1:11" ht="12.75" customHeight="1" x14ac:dyDescent="0.2">
      <c r="A84" s="22">
        <f>A78+A82</f>
        <v>1737.3481324115644</v>
      </c>
      <c r="B84" s="3" t="s">
        <v>51</v>
      </c>
    </row>
    <row r="85" spans="1:11" ht="15" customHeight="1" x14ac:dyDescent="0.25">
      <c r="A85" s="33">
        <f>A77/A83</f>
        <v>0.57471196051940665</v>
      </c>
      <c r="B85" s="34" t="s">
        <v>52</v>
      </c>
    </row>
    <row r="86" spans="1:11" ht="12.75" customHeight="1" x14ac:dyDescent="0.2">
      <c r="A86" s="35">
        <f>A78/A84</f>
        <v>0.61566282060767585</v>
      </c>
      <c r="B86" s="3" t="s">
        <v>53</v>
      </c>
    </row>
    <row r="87" spans="1:11" ht="12.75" customHeight="1" x14ac:dyDescent="0.2">
      <c r="B87" s="5"/>
    </row>
    <row r="88" spans="1:11" ht="12.75" customHeight="1" x14ac:dyDescent="0.2">
      <c r="A88" s="5" t="s">
        <v>54</v>
      </c>
      <c r="B88" s="5"/>
    </row>
    <row r="89" spans="1:11" s="37" customFormat="1" ht="12.75" customHeight="1" x14ac:dyDescent="0.2">
      <c r="A89" s="36" t="s">
        <v>55</v>
      </c>
      <c r="B89" s="36" t="s">
        <v>56</v>
      </c>
      <c r="C89" s="36" t="s">
        <v>55</v>
      </c>
      <c r="D89" s="36" t="s">
        <v>56</v>
      </c>
      <c r="E89" s="36" t="s">
        <v>55</v>
      </c>
      <c r="F89" s="36" t="s">
        <v>56</v>
      </c>
      <c r="G89" s="36" t="s">
        <v>57</v>
      </c>
      <c r="H89" s="36" t="s">
        <v>58</v>
      </c>
      <c r="I89" s="36" t="s">
        <v>59</v>
      </c>
      <c r="J89" s="36" t="s">
        <v>57</v>
      </c>
    </row>
    <row r="90" spans="1:11" s="37" customFormat="1" ht="14.65" customHeight="1" x14ac:dyDescent="0.2">
      <c r="A90" s="36" t="s">
        <v>60</v>
      </c>
      <c r="B90" s="36" t="s">
        <v>60</v>
      </c>
      <c r="C90" s="36" t="s">
        <v>61</v>
      </c>
      <c r="D90" s="36" t="s">
        <v>61</v>
      </c>
      <c r="E90" s="36" t="s">
        <v>62</v>
      </c>
      <c r="F90" s="36" t="s">
        <v>62</v>
      </c>
      <c r="G90" s="36" t="s">
        <v>63</v>
      </c>
      <c r="H90" s="36" t="s">
        <v>63</v>
      </c>
      <c r="I90" s="36" t="s">
        <v>63</v>
      </c>
      <c r="J90" s="36" t="s">
        <v>64</v>
      </c>
    </row>
    <row r="91" spans="1:11" ht="12.75" customHeight="1" x14ac:dyDescent="0.2">
      <c r="A91" s="8">
        <v>170</v>
      </c>
      <c r="B91" s="8">
        <v>740</v>
      </c>
      <c r="C91" s="38">
        <f t="shared" ref="C91:C92" si="0">MRFr^2*A91*ACFFr</f>
        <v>169.94174524584474</v>
      </c>
      <c r="D91" s="38">
        <f t="shared" ref="D91:D92" si="1">MRRr^2*B91*ACFRr</f>
        <v>179.12736000000001</v>
      </c>
      <c r="E91" s="39">
        <f t="shared" ref="E91:E92" si="2">(187.8*SQRT(C91/SprungWeightFr))/60</f>
        <v>1.3535805664789211</v>
      </c>
      <c r="F91" s="39">
        <f t="shared" ref="F91:F92" si="3">(187.8*SQRT(D91/SprungWeightRr))/60</f>
        <v>1.5220677412072574</v>
      </c>
      <c r="G91" s="22">
        <f t="shared" ref="G91:G92" si="4">(12*PI()*(TrackFr/12)^2*C91)/(180*2)+SwayWheelFr</f>
        <v>878.47012436081968</v>
      </c>
      <c r="H91" s="22">
        <f t="shared" ref="H91:H92" si="5">(12*PI()*(TrackRr/12)^2*D91)/(180*2)+SwayWheelRr</f>
        <v>643.5210808335828</v>
      </c>
      <c r="I91" s="22">
        <f t="shared" ref="I91:I92" si="6">G91+H91</f>
        <v>1521.9912051944025</v>
      </c>
      <c r="J91" s="35">
        <f t="shared" ref="J91:J92" si="7">G91/(G91+H91)</f>
        <v>0.57718475728551499</v>
      </c>
      <c r="K91" s="8" t="s">
        <v>170</v>
      </c>
    </row>
    <row r="92" spans="1:11" ht="13.5" customHeight="1" x14ac:dyDescent="0.2">
      <c r="A92" s="8">
        <v>250</v>
      </c>
      <c r="B92" s="8">
        <v>980</v>
      </c>
      <c r="C92" s="38">
        <f t="shared" si="0"/>
        <v>249.91433124388931</v>
      </c>
      <c r="D92" s="38">
        <f t="shared" si="1"/>
        <v>237.22272000000001</v>
      </c>
      <c r="E92" s="39">
        <f t="shared" si="2"/>
        <v>1.6414575436399936</v>
      </c>
      <c r="F92" s="39">
        <f t="shared" si="3"/>
        <v>1.7515847668523805</v>
      </c>
      <c r="G92" s="22">
        <f t="shared" si="4"/>
        <v>1114.4560652364994</v>
      </c>
      <c r="H92" s="22">
        <f t="shared" si="5"/>
        <v>829.79143137420442</v>
      </c>
      <c r="I92" s="22">
        <f t="shared" si="6"/>
        <v>1944.2474966107038</v>
      </c>
      <c r="J92" s="35">
        <f t="shared" si="7"/>
        <v>0.57320689221884935</v>
      </c>
      <c r="K92" s="8" t="s">
        <v>171</v>
      </c>
    </row>
    <row r="93" spans="1:11" ht="12.75" customHeight="1" x14ac:dyDescent="0.2">
      <c r="A93" s="12"/>
      <c r="B93" s="12"/>
    </row>
    <row r="94" spans="1:11" s="2" customFormat="1" ht="12.75" customHeight="1" x14ac:dyDescent="0.2">
      <c r="A94" s="40" t="s">
        <v>65</v>
      </c>
      <c r="B94" s="41"/>
    </row>
    <row r="95" spans="1:11" ht="12.75" customHeight="1" x14ac:dyDescent="0.2">
      <c r="A95" s="42">
        <v>1.2589999999999999</v>
      </c>
      <c r="B95" s="19" t="s">
        <v>185</v>
      </c>
    </row>
    <row r="96" spans="1:11" ht="12.75" customHeight="1" x14ac:dyDescent="0.2">
      <c r="A96" s="42">
        <v>0.185</v>
      </c>
      <c r="B96" s="19" t="s">
        <v>186</v>
      </c>
    </row>
    <row r="97" spans="1:3" ht="12.75" customHeight="1" x14ac:dyDescent="0.2">
      <c r="A97" s="43">
        <f>A95-2*A96</f>
        <v>0.8889999999999999</v>
      </c>
      <c r="B97" s="15" t="s">
        <v>66</v>
      </c>
    </row>
    <row r="98" spans="1:3" ht="12.75" customHeight="1" x14ac:dyDescent="0.2">
      <c r="A98" s="44">
        <v>11.75</v>
      </c>
      <c r="B98" s="19" t="s">
        <v>187</v>
      </c>
    </row>
    <row r="99" spans="1:3" ht="12.75" customHeight="1" x14ac:dyDescent="0.2">
      <c r="A99" s="44">
        <v>17</v>
      </c>
      <c r="B99" s="19" t="s">
        <v>188</v>
      </c>
    </row>
    <row r="100" spans="1:3" ht="12.75" customHeight="1" x14ac:dyDescent="0.2">
      <c r="A100" s="44">
        <v>33</v>
      </c>
      <c r="B100" s="19" t="s">
        <v>189</v>
      </c>
    </row>
    <row r="101" spans="1:3" ht="12.75" customHeight="1" x14ac:dyDescent="0.2">
      <c r="A101" s="16">
        <f>(600000*(A95^4-A97^4))/(0.3632*A98^2*A100+0.1722*A99^3)</f>
        <v>452.9484679331112</v>
      </c>
      <c r="B101" s="15" t="s">
        <v>190</v>
      </c>
    </row>
    <row r="102" spans="1:3" ht="12.75" customHeight="1" x14ac:dyDescent="0.2">
      <c r="A102" s="45">
        <v>1</v>
      </c>
      <c r="B102" s="19" t="s">
        <v>191</v>
      </c>
    </row>
    <row r="103" spans="1:3" ht="12.75" customHeight="1" x14ac:dyDescent="0.2">
      <c r="A103" s="46">
        <f>A101*A102</f>
        <v>452.9484679331112</v>
      </c>
      <c r="B103" s="15" t="s">
        <v>192</v>
      </c>
    </row>
    <row r="104" spans="1:3" ht="12.75" customHeight="1" x14ac:dyDescent="0.2">
      <c r="A104" s="16"/>
      <c r="B104" s="15"/>
      <c r="C104" s="5" t="s">
        <v>67</v>
      </c>
    </row>
    <row r="105" spans="1:3" ht="12.75" customHeight="1" x14ac:dyDescent="0.2">
      <c r="A105" s="16"/>
      <c r="B105" s="15"/>
      <c r="C105" s="5"/>
    </row>
    <row r="106" spans="1:3" s="2" customFormat="1" ht="12.75" customHeight="1" x14ac:dyDescent="0.2">
      <c r="A106" s="40" t="s">
        <v>68</v>
      </c>
      <c r="B106" s="47"/>
    </row>
    <row r="107" spans="1:3" ht="12.75" customHeight="1" x14ac:dyDescent="0.2">
      <c r="A107" s="42">
        <v>0.874</v>
      </c>
      <c r="B107" s="19" t="s">
        <v>193</v>
      </c>
    </row>
    <row r="108" spans="1:3" ht="12.75" customHeight="1" x14ac:dyDescent="0.2">
      <c r="A108" s="42">
        <v>0.1</v>
      </c>
      <c r="B108" s="19" t="s">
        <v>194</v>
      </c>
    </row>
    <row r="109" spans="1:3" ht="12.75" customHeight="1" x14ac:dyDescent="0.2">
      <c r="A109" s="43">
        <f>A107-2*A108</f>
        <v>0.67399999999999993</v>
      </c>
      <c r="B109" s="15" t="s">
        <v>66</v>
      </c>
    </row>
    <row r="110" spans="1:3" ht="12.75" customHeight="1" x14ac:dyDescent="0.2">
      <c r="A110" s="45">
        <v>8.25</v>
      </c>
      <c r="B110" s="19" t="s">
        <v>195</v>
      </c>
    </row>
    <row r="111" spans="1:3" ht="12.75" customHeight="1" x14ac:dyDescent="0.2">
      <c r="A111" s="45">
        <v>8.5</v>
      </c>
      <c r="B111" s="19" t="s">
        <v>196</v>
      </c>
    </row>
    <row r="112" spans="1:3" ht="12.75" customHeight="1" x14ac:dyDescent="0.2">
      <c r="A112" s="44">
        <v>70</v>
      </c>
      <c r="B112" s="19" t="s">
        <v>197</v>
      </c>
    </row>
    <row r="113" spans="1:3" ht="12.75" customHeight="1" x14ac:dyDescent="0.2">
      <c r="A113" s="16">
        <f>(600000*(A107^4-A109^4))/(0.3632*A110^2*A112+0.1722*A111^3)</f>
        <v>123.23668601383265</v>
      </c>
      <c r="B113" s="15" t="s">
        <v>182</v>
      </c>
    </row>
    <row r="114" spans="1:3" ht="12.75" customHeight="1" x14ac:dyDescent="0.2">
      <c r="A114" s="45">
        <v>0.75</v>
      </c>
      <c r="B114" s="19" t="s">
        <v>198</v>
      </c>
    </row>
    <row r="115" spans="1:3" ht="12.75" customHeight="1" x14ac:dyDescent="0.2">
      <c r="A115" s="46">
        <f>A113*A114</f>
        <v>92.427514510374493</v>
      </c>
      <c r="B115" s="15" t="s">
        <v>199</v>
      </c>
    </row>
    <row r="116" spans="1:3" ht="12.75" customHeight="1" x14ac:dyDescent="0.2">
      <c r="B116" s="5"/>
      <c r="C116" s="5" t="s">
        <v>67</v>
      </c>
    </row>
    <row r="117" spans="1:3" s="2" customFormat="1" ht="12.75" customHeight="1" x14ac:dyDescent="0.2">
      <c r="A117" s="21" t="s">
        <v>69</v>
      </c>
    </row>
    <row r="118" spans="1:3" ht="12.75" customHeight="1" x14ac:dyDescent="0.2">
      <c r="A118" s="3"/>
      <c r="B118" s="5" t="s">
        <v>70</v>
      </c>
    </row>
    <row r="119" spans="1:3" ht="12.75" customHeight="1" x14ac:dyDescent="0.2">
      <c r="A119" s="8">
        <v>10</v>
      </c>
      <c r="B119" s="9" t="s">
        <v>71</v>
      </c>
    </row>
    <row r="120" spans="1:3" ht="12.75" customHeight="1" x14ac:dyDescent="0.2">
      <c r="A120" s="8">
        <v>12.8</v>
      </c>
      <c r="B120" s="9" t="s">
        <v>72</v>
      </c>
    </row>
    <row r="121" spans="1:3" ht="12.75" customHeight="1" x14ac:dyDescent="0.2">
      <c r="A121" s="48">
        <f>Dist1/Dist2</f>
        <v>0.78125</v>
      </c>
      <c r="B121" s="4" t="s">
        <v>200</v>
      </c>
    </row>
    <row r="123" spans="1:3" s="2" customFormat="1" ht="12.75" customHeight="1" x14ac:dyDescent="0.2">
      <c r="A123" s="21" t="s">
        <v>73</v>
      </c>
    </row>
    <row r="124" spans="1:3" ht="12.75" customHeight="1" x14ac:dyDescent="0.2">
      <c r="A124" s="49">
        <v>1.7</v>
      </c>
      <c r="B124" s="9" t="s">
        <v>74</v>
      </c>
    </row>
    <row r="125" spans="1:3" ht="12.75" customHeight="1" x14ac:dyDescent="0.2">
      <c r="A125" s="50">
        <v>799</v>
      </c>
      <c r="B125" s="9" t="s">
        <v>75</v>
      </c>
    </row>
    <row r="126" spans="1:3" ht="12.75" customHeight="1" x14ac:dyDescent="0.2">
      <c r="A126" s="16">
        <f>(DesiredSF/3.13)^2*A125</f>
        <v>235.69802692688501</v>
      </c>
      <c r="B126" s="4" t="s">
        <v>76</v>
      </c>
    </row>
    <row r="128" spans="1:3" s="2" customFormat="1" ht="12.75" customHeight="1" x14ac:dyDescent="0.2">
      <c r="A128" s="21" t="s">
        <v>77</v>
      </c>
    </row>
    <row r="129" spans="1:3" ht="12.75" customHeight="1" x14ac:dyDescent="0.2">
      <c r="A129" s="8">
        <v>250</v>
      </c>
      <c r="B129" s="9" t="s">
        <v>78</v>
      </c>
    </row>
    <row r="130" spans="1:3" ht="12.75" customHeight="1" x14ac:dyDescent="0.2">
      <c r="A130" s="8">
        <v>0.58899999999999997</v>
      </c>
      <c r="B130" s="9" t="s">
        <v>79</v>
      </c>
    </row>
    <row r="131" spans="1:3" ht="12.75" customHeight="1" x14ac:dyDescent="0.2">
      <c r="A131" s="8">
        <v>1</v>
      </c>
      <c r="B131" s="9" t="s">
        <v>80</v>
      </c>
    </row>
    <row r="132" spans="1:3" ht="12.95" customHeight="1" x14ac:dyDescent="0.2">
      <c r="A132" s="16">
        <f>DesiredWheelRate/(A130^2*A131)</f>
        <v>720.62515673597159</v>
      </c>
      <c r="B132" s="4" t="s">
        <v>81</v>
      </c>
    </row>
    <row r="133" spans="1:3" ht="12.75" customHeight="1" x14ac:dyDescent="0.2">
      <c r="A133" s="16"/>
    </row>
    <row r="134" spans="1:3" s="2" customFormat="1" ht="12.75" customHeight="1" x14ac:dyDescent="0.2">
      <c r="A134" s="40" t="s">
        <v>82</v>
      </c>
    </row>
    <row r="135" spans="1:3" ht="12.75" customHeight="1" x14ac:dyDescent="0.2">
      <c r="A135" s="18">
        <v>672</v>
      </c>
      <c r="B135" s="9" t="s">
        <v>83</v>
      </c>
    </row>
    <row r="136" spans="1:3" ht="12.75" customHeight="1" x14ac:dyDescent="0.2">
      <c r="A136" s="18">
        <v>336</v>
      </c>
      <c r="B136" s="9" t="s">
        <v>84</v>
      </c>
    </row>
    <row r="137" spans="1:3" ht="12.75" customHeight="1" x14ac:dyDescent="0.2">
      <c r="A137" s="16">
        <f>(MainSpring*HelperSpring)/(MainSpring+HelperSpring)</f>
        <v>224</v>
      </c>
      <c r="B137" s="4" t="s">
        <v>85</v>
      </c>
    </row>
    <row r="138" spans="1:3" ht="12.75" customHeight="1" x14ac:dyDescent="0.2">
      <c r="A138" s="16"/>
      <c r="B138" s="5" t="s">
        <v>86</v>
      </c>
    </row>
    <row r="139" spans="1:3" ht="12.75" customHeight="1" x14ac:dyDescent="0.2">
      <c r="A139" s="16"/>
      <c r="B139" s="5" t="s">
        <v>87</v>
      </c>
      <c r="C139"/>
    </row>
    <row r="140" spans="1:3" ht="12.75" customHeight="1" x14ac:dyDescent="0.2">
      <c r="A140" s="16"/>
    </row>
    <row r="141" spans="1:3" s="2" customFormat="1" ht="12.75" customHeight="1" x14ac:dyDescent="0.2">
      <c r="A141" s="21" t="s">
        <v>88</v>
      </c>
    </row>
    <row r="142" spans="1:3" ht="12.75" customHeight="1" x14ac:dyDescent="0.2">
      <c r="A142" s="8">
        <v>75</v>
      </c>
      <c r="B142" s="9" t="s">
        <v>89</v>
      </c>
    </row>
    <row r="143" spans="1:3" ht="12.75" customHeight="1" x14ac:dyDescent="0.2">
      <c r="A143" s="8">
        <v>10</v>
      </c>
      <c r="B143" s="9" t="s">
        <v>90</v>
      </c>
    </row>
    <row r="144" spans="1:3" ht="12.75" customHeight="1" x14ac:dyDescent="0.2">
      <c r="A144" s="29">
        <f>(1.225*A142)/A143^2</f>
        <v>0.91874999999999996</v>
      </c>
      <c r="B144" s="4" t="s">
        <v>91</v>
      </c>
    </row>
    <row r="146" spans="1:2" s="2" customFormat="1" ht="12.75" customHeight="1" x14ac:dyDescent="0.2">
      <c r="A146" s="21" t="s">
        <v>92</v>
      </c>
    </row>
    <row r="147" spans="1:2" ht="12.75" customHeight="1" x14ac:dyDescent="0.2">
      <c r="A147" s="8">
        <v>77</v>
      </c>
      <c r="B147" s="9" t="s">
        <v>93</v>
      </c>
    </row>
    <row r="148" spans="1:2" ht="12.75" customHeight="1" x14ac:dyDescent="0.2">
      <c r="A148" s="8">
        <v>29.23</v>
      </c>
      <c r="B148" s="9" t="s">
        <v>94</v>
      </c>
    </row>
    <row r="149" spans="1:2" ht="12.75" customHeight="1" x14ac:dyDescent="0.2">
      <c r="A149" s="51">
        <v>1</v>
      </c>
      <c r="B149" s="9" t="s">
        <v>95</v>
      </c>
    </row>
    <row r="150" spans="1:2" ht="12.75" customHeight="1" x14ac:dyDescent="0.2">
      <c r="A150" s="8">
        <v>305</v>
      </c>
      <c r="B150" s="9" t="s">
        <v>96</v>
      </c>
    </row>
    <row r="151" spans="1:2" ht="12.75" customHeight="1" x14ac:dyDescent="0.2">
      <c r="A151" s="3"/>
    </row>
    <row r="152" spans="1:2" ht="14.65" customHeight="1" x14ac:dyDescent="0.2">
      <c r="A152" s="52">
        <f>6.1078*10^((7.5*((Temp-32)*5/9))/(237.3+((Temp-32)*5/9)))*0.02953*Humidity</f>
        <v>0.93535958617245407</v>
      </c>
      <c r="B152" s="4" t="s">
        <v>97</v>
      </c>
    </row>
    <row r="153" spans="1:2" ht="14.65" customHeight="1" x14ac:dyDescent="0.2">
      <c r="A153" s="53"/>
    </row>
    <row r="154" spans="1:2" ht="12.75" customHeight="1" x14ac:dyDescent="0.2">
      <c r="A154" s="54">
        <f>1.176*(29.23/(Baro-Vapor))*(SQRT((Temp+459.67)/536.67))-0.176</f>
        <v>1.0388760152894978</v>
      </c>
      <c r="B154" s="4" t="s">
        <v>98</v>
      </c>
    </row>
    <row r="155" spans="1:2" ht="12.75" customHeight="1" x14ac:dyDescent="0.2">
      <c r="A155" s="22">
        <f>UnHP*SAE_J1349</f>
        <v>316.85718466329683</v>
      </c>
      <c r="B155" s="4" t="s">
        <v>99</v>
      </c>
    </row>
    <row r="156" spans="1:2" ht="12.75" customHeight="1" x14ac:dyDescent="0.2">
      <c r="A156" s="54">
        <f>1.176*(29.92/(Baro-Vapor))*(SQRT((Temp+459.67)/519.67))-0.176</f>
        <v>1.0877307937415628</v>
      </c>
      <c r="B156" s="4" t="s">
        <v>100</v>
      </c>
    </row>
    <row r="157" spans="1:2" ht="12.75" customHeight="1" x14ac:dyDescent="0.2">
      <c r="A157" s="22">
        <f>UnHP*MSA</f>
        <v>331.75789209117664</v>
      </c>
      <c r="B157" s="4" t="s">
        <v>101</v>
      </c>
    </row>
    <row r="158" spans="1:2" ht="12.75" customHeight="1" x14ac:dyDescent="0.2">
      <c r="A158" s="54">
        <f>1.176*(29.92/(Baro-Vapor))*(SQRT((Temp+459.67)/527.67))-0.176</f>
        <v>1.0781145009550019</v>
      </c>
      <c r="B158" s="4" t="s">
        <v>102</v>
      </c>
    </row>
    <row r="159" spans="1:2" ht="12.75" customHeight="1" x14ac:dyDescent="0.2">
      <c r="A159" s="22">
        <f>UnHP*STD</f>
        <v>328.82492279127558</v>
      </c>
      <c r="B159" s="4" t="s">
        <v>103</v>
      </c>
    </row>
    <row r="161" spans="1:4" s="2" customFormat="1" ht="12.75" customHeight="1" x14ac:dyDescent="0.2">
      <c r="A161" s="21" t="s">
        <v>104</v>
      </c>
    </row>
    <row r="162" spans="1:4" ht="12.75" customHeight="1" x14ac:dyDescent="0.2">
      <c r="A162" s="42">
        <v>1</v>
      </c>
      <c r="B162" s="9" t="s">
        <v>105</v>
      </c>
      <c r="C162" s="43">
        <f>A162*25.4</f>
        <v>25.4</v>
      </c>
      <c r="D162" s="4" t="s">
        <v>106</v>
      </c>
    </row>
    <row r="163" spans="1:4" ht="12.75" customHeight="1" x14ac:dyDescent="0.2">
      <c r="A163" s="42">
        <v>1</v>
      </c>
      <c r="B163" s="9" t="s">
        <v>107</v>
      </c>
      <c r="C163" s="43">
        <f>A163*0.03937</f>
        <v>3.9370000000000002E-2</v>
      </c>
      <c r="D163" s="4" t="s">
        <v>108</v>
      </c>
    </row>
    <row r="164" spans="1:4" ht="12.75" customHeight="1" x14ac:dyDescent="0.2">
      <c r="A164" s="42">
        <v>1</v>
      </c>
      <c r="B164" s="9" t="s">
        <v>109</v>
      </c>
      <c r="C164" s="43">
        <f>A164*4.4482</f>
        <v>4.4481999999999999</v>
      </c>
      <c r="D164" s="4" t="s">
        <v>110</v>
      </c>
    </row>
    <row r="165" spans="1:4" ht="12.75" customHeight="1" x14ac:dyDescent="0.2">
      <c r="A165" s="42">
        <v>1</v>
      </c>
      <c r="B165" s="9" t="s">
        <v>111</v>
      </c>
      <c r="C165" s="43">
        <f>A165*0.2248</f>
        <v>0.2248</v>
      </c>
      <c r="D165" s="4" t="s">
        <v>112</v>
      </c>
    </row>
    <row r="166" spans="1:4" ht="12.75" customHeight="1" x14ac:dyDescent="0.2">
      <c r="A166" s="42">
        <v>1</v>
      </c>
      <c r="B166" s="9" t="s">
        <v>109</v>
      </c>
      <c r="C166" s="43">
        <f>A166*0.4536</f>
        <v>0.4536</v>
      </c>
      <c r="D166" s="4" t="s">
        <v>113</v>
      </c>
    </row>
    <row r="167" spans="1:4" ht="12.75" customHeight="1" x14ac:dyDescent="0.2">
      <c r="A167" s="42">
        <v>1</v>
      </c>
      <c r="B167" s="9" t="s">
        <v>114</v>
      </c>
      <c r="C167" s="43">
        <f>A167*2.205</f>
        <v>2.2050000000000001</v>
      </c>
      <c r="D167" s="4" t="s">
        <v>112</v>
      </c>
    </row>
    <row r="168" spans="1:4" ht="12.75" customHeight="1" x14ac:dyDescent="0.2">
      <c r="A168" s="42">
        <v>1</v>
      </c>
      <c r="B168" s="9" t="s">
        <v>115</v>
      </c>
      <c r="C168" s="43">
        <f>A168*1.355818</f>
        <v>1.355818</v>
      </c>
      <c r="D168" s="4" t="s">
        <v>116</v>
      </c>
    </row>
    <row r="169" spans="1:4" ht="12.75" customHeight="1" x14ac:dyDescent="0.2">
      <c r="A169" s="42">
        <v>1</v>
      </c>
      <c r="B169" s="9" t="s">
        <v>117</v>
      </c>
      <c r="C169" s="43">
        <f>A169*0.7375621211697</f>
        <v>0.73756212116969999</v>
      </c>
      <c r="D169" s="4" t="s">
        <v>118</v>
      </c>
    </row>
    <row r="170" spans="1:4" ht="12.75" customHeight="1" x14ac:dyDescent="0.2">
      <c r="A170" s="42">
        <v>165</v>
      </c>
      <c r="B170" s="9" t="s">
        <v>115</v>
      </c>
      <c r="C170" s="43">
        <f>A170*0.0178579673228346</f>
        <v>2.9465646082677095</v>
      </c>
      <c r="D170" s="4" t="s">
        <v>119</v>
      </c>
    </row>
    <row r="171" spans="1:4" ht="12.75" customHeight="1" x14ac:dyDescent="0.2">
      <c r="A171" s="42">
        <v>8</v>
      </c>
      <c r="B171" s="9" t="s">
        <v>120</v>
      </c>
      <c r="C171" s="43">
        <f>A171/0.0178579673228346</f>
        <v>447.97931675967237</v>
      </c>
      <c r="D171" s="4" t="s">
        <v>118</v>
      </c>
    </row>
    <row r="172" spans="1:4" ht="12.75" customHeight="1" x14ac:dyDescent="0.2">
      <c r="A172" s="42">
        <v>1</v>
      </c>
      <c r="B172" s="9" t="s">
        <v>121</v>
      </c>
      <c r="C172" s="43">
        <f>A172/12</f>
        <v>8.3333333333333329E-2</v>
      </c>
      <c r="D172" s="4" t="s">
        <v>118</v>
      </c>
    </row>
    <row r="173" spans="1:4" ht="12.75" customHeight="1" x14ac:dyDescent="0.2">
      <c r="A173" s="42">
        <v>1</v>
      </c>
      <c r="B173" s="9" t="s">
        <v>115</v>
      </c>
      <c r="C173" s="43">
        <f>A173*12</f>
        <v>12</v>
      </c>
      <c r="D173" s="4" t="s">
        <v>118</v>
      </c>
    </row>
    <row r="174" spans="1:4" ht="12.75" customHeight="1" x14ac:dyDescent="0.2">
      <c r="A174" s="42">
        <v>1</v>
      </c>
      <c r="B174" s="9" t="s">
        <v>122</v>
      </c>
      <c r="C174" s="43">
        <f>A174*14.503774</f>
        <v>14.503774</v>
      </c>
      <c r="D174" s="4" t="s">
        <v>123</v>
      </c>
    </row>
    <row r="175" spans="1:4" ht="12.75" customHeight="1" x14ac:dyDescent="0.2">
      <c r="A175" s="55">
        <v>1</v>
      </c>
      <c r="B175" s="9" t="s">
        <v>124</v>
      </c>
      <c r="C175" s="48">
        <f>A175*0.0689476</f>
        <v>6.8947599999999998E-2</v>
      </c>
      <c r="D175" s="4" t="s">
        <v>125</v>
      </c>
    </row>
    <row r="176" spans="1:4" s="2" customFormat="1" ht="12.75" customHeight="1" x14ac:dyDescent="0.2">
      <c r="A176" s="56"/>
    </row>
  </sheetData>
  <hyperlinks>
    <hyperlink ref="I3" r:id="rId1"/>
  </hyperlinks>
  <pageMargins left="0.42440000000000005" right="0.42440000000000005" top="0.82640000000000002" bottom="0.66810000000000014" header="0.43270000000000003" footer="0.27440000000000003"/>
  <pageSetup paperSize="0" scale="70" fitToWidth="0" fitToHeight="0" pageOrder="overThenDown" orientation="portrait" useFirstPageNumber="1" horizontalDpi="0" verticalDpi="0" copies="0"/>
  <headerFooter alignWithMargins="0">
    <oddHeader>&amp;C&amp;10&amp;A</oddHeader>
    <oddFooter>&amp;C&amp;10Page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customHeight="1" x14ac:dyDescent="0.2"/>
  <cols>
    <col min="1" max="1024" width="10.625" customWidth="1"/>
  </cols>
  <sheetData>
    <row r="1" spans="1:1" s="2" customFormat="1" ht="24" customHeight="1" x14ac:dyDescent="0.35">
      <c r="A1" s="1" t="s">
        <v>126</v>
      </c>
    </row>
  </sheetData>
  <pageMargins left="0.78739999999999999" right="0.78739999999999999" top="1.1811" bottom="1.1811" header="0.78739999999999999" footer="0.78739999999999999"/>
  <pageSetup paperSize="0" fitToWidth="0" fitToHeight="0" pageOrder="overThenDown" orientation="portrait" horizontalDpi="0" verticalDpi="0" copies="0"/>
  <headerFooter alignWithMargins="0">
    <oddHeader>&amp;C&amp;10&amp;A</oddHeader>
    <oddFooter>&amp;C&amp;10Page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G98"/>
  <sheetViews>
    <sheetView workbookViewId="0"/>
  </sheetViews>
  <sheetFormatPr defaultRowHeight="12.75" customHeight="1" x14ac:dyDescent="0.2"/>
  <cols>
    <col min="1" max="257" width="10.625" customWidth="1"/>
  </cols>
  <sheetData>
    <row r="14" spans="1:1" ht="14.65" customHeight="1" x14ac:dyDescent="0.2">
      <c r="A14" s="57"/>
    </row>
    <row r="15" spans="1:1" ht="14.65" customHeight="1" x14ac:dyDescent="0.2">
      <c r="A15" s="57"/>
    </row>
    <row r="16" spans="1:1" ht="14.65" customHeight="1" x14ac:dyDescent="0.2">
      <c r="A16" s="57"/>
    </row>
    <row r="17" spans="1:1" ht="14.65" customHeight="1" x14ac:dyDescent="0.2">
      <c r="A17" s="57"/>
    </row>
    <row r="18" spans="1:1" ht="14.65" customHeight="1" x14ac:dyDescent="0.2">
      <c r="A18" s="57"/>
    </row>
    <row r="19" spans="1:1" ht="14.65" customHeight="1" x14ac:dyDescent="0.2">
      <c r="A19" s="57"/>
    </row>
    <row r="20" spans="1:1" ht="14.65" customHeight="1" x14ac:dyDescent="0.2">
      <c r="A20" s="57"/>
    </row>
    <row r="21" spans="1:1" ht="14.65" customHeight="1" x14ac:dyDescent="0.2">
      <c r="A21" s="57"/>
    </row>
    <row r="22" spans="1:1" ht="14.65" customHeight="1" x14ac:dyDescent="0.2">
      <c r="A22" s="57"/>
    </row>
    <row r="23" spans="1:1" ht="14.65" customHeight="1" x14ac:dyDescent="0.2">
      <c r="A23" s="57"/>
    </row>
    <row r="24" spans="1:1" ht="14.65" customHeight="1" x14ac:dyDescent="0.2">
      <c r="A24" s="57"/>
    </row>
    <row r="25" spans="1:1" ht="14.65" customHeight="1" x14ac:dyDescent="0.2">
      <c r="A25" s="57"/>
    </row>
    <row r="26" spans="1:1" ht="14.65" customHeight="1" x14ac:dyDescent="0.2">
      <c r="A26" s="57"/>
    </row>
    <row r="28" spans="1:1" ht="14.65" customHeight="1" x14ac:dyDescent="0.2">
      <c r="A28" t="s">
        <v>127</v>
      </c>
    </row>
    <row r="29" spans="1:1" ht="14.65" customHeight="1" x14ac:dyDescent="0.2">
      <c r="A29" t="s">
        <v>128</v>
      </c>
    </row>
    <row r="30" spans="1:1" ht="14.65" customHeight="1" x14ac:dyDescent="0.2">
      <c r="A30" t="s">
        <v>129</v>
      </c>
    </row>
    <row r="31" spans="1:1" ht="14.65" customHeight="1" x14ac:dyDescent="0.2">
      <c r="A31" t="s">
        <v>130</v>
      </c>
    </row>
    <row r="32" spans="1:1" ht="14.65" customHeight="1" x14ac:dyDescent="0.2">
      <c r="A32" t="s">
        <v>131</v>
      </c>
    </row>
    <row r="33" spans="1:1" ht="14.65" customHeight="1" x14ac:dyDescent="0.2">
      <c r="A33" t="s">
        <v>132</v>
      </c>
    </row>
    <row r="34" spans="1:1" ht="14.65" customHeight="1" x14ac:dyDescent="0.2"/>
    <row r="57" spans="1:1" ht="12.75" customHeight="1" x14ac:dyDescent="0.2">
      <c r="A57" s="57" t="s">
        <v>133</v>
      </c>
    </row>
    <row r="58" spans="1:1" ht="14.65" customHeight="1" x14ac:dyDescent="0.2">
      <c r="A58" s="57" t="s">
        <v>134</v>
      </c>
    </row>
    <row r="59" spans="1:1" ht="12.75" customHeight="1" x14ac:dyDescent="0.2">
      <c r="A59" s="57" t="s">
        <v>135</v>
      </c>
    </row>
    <row r="60" spans="1:1" ht="12.75" customHeight="1" x14ac:dyDescent="0.2">
      <c r="A60" s="57" t="s">
        <v>136</v>
      </c>
    </row>
    <row r="61" spans="1:1" ht="12.75" customHeight="1" x14ac:dyDescent="0.2">
      <c r="A61" s="57" t="s">
        <v>137</v>
      </c>
    </row>
    <row r="62" spans="1:1" ht="12.75" customHeight="1" x14ac:dyDescent="0.2">
      <c r="A62" s="57" t="s">
        <v>138</v>
      </c>
    </row>
    <row r="63" spans="1:1" ht="12.75" customHeight="1" x14ac:dyDescent="0.2">
      <c r="A63" s="57" t="s">
        <v>139</v>
      </c>
    </row>
    <row r="64" spans="1:1" ht="12.75" customHeight="1" x14ac:dyDescent="0.2">
      <c r="A64" s="57"/>
    </row>
    <row r="65" spans="1:7" ht="12.75" customHeight="1" x14ac:dyDescent="0.2">
      <c r="A65" s="57"/>
    </row>
    <row r="66" spans="1:7" ht="15" customHeight="1" x14ac:dyDescent="0.25">
      <c r="A66" s="34" t="s">
        <v>140</v>
      </c>
    </row>
    <row r="67" spans="1:7" ht="12.75" customHeight="1" x14ac:dyDescent="0.2">
      <c r="A67" s="57"/>
    </row>
    <row r="68" spans="1:7" ht="12.95" customHeight="1" x14ac:dyDescent="0.2">
      <c r="A68" s="57"/>
      <c r="B68" s="58" t="s">
        <v>141</v>
      </c>
      <c r="E68" s="36" t="s">
        <v>142</v>
      </c>
    </row>
    <row r="69" spans="1:7" ht="12.95" customHeight="1" x14ac:dyDescent="0.2">
      <c r="A69" s="57"/>
      <c r="C69" s="59"/>
      <c r="D69" s="59"/>
      <c r="E69" s="60" t="s">
        <v>143</v>
      </c>
      <c r="F69" s="59"/>
      <c r="G69" s="59"/>
    </row>
    <row r="70" spans="1:7" ht="12.75" customHeight="1" x14ac:dyDescent="0.2">
      <c r="A70" s="57"/>
      <c r="C70" s="61"/>
      <c r="D70" s="61"/>
      <c r="E70" s="62"/>
      <c r="F70" s="61"/>
      <c r="G70" s="61"/>
    </row>
    <row r="71" spans="1:7" ht="12.75" customHeight="1" x14ac:dyDescent="0.2">
      <c r="A71" s="57"/>
      <c r="C71" s="61"/>
      <c r="D71" s="61"/>
      <c r="E71" s="62" t="s">
        <v>144</v>
      </c>
      <c r="F71" s="61"/>
      <c r="G71" s="61"/>
    </row>
    <row r="72" spans="1:7" ht="12.75" customHeight="1" x14ac:dyDescent="0.2">
      <c r="A72" s="57"/>
      <c r="C72" s="61"/>
      <c r="D72" s="61"/>
      <c r="E72" s="62"/>
      <c r="F72" s="61"/>
      <c r="G72" s="61"/>
    </row>
    <row r="73" spans="1:7" ht="12.95" customHeight="1" x14ac:dyDescent="0.2">
      <c r="A73" s="57"/>
      <c r="B73" s="58" t="s">
        <v>141</v>
      </c>
      <c r="E73" s="36" t="s">
        <v>145</v>
      </c>
    </row>
    <row r="74" spans="1:7" ht="12.95" customHeight="1" x14ac:dyDescent="0.2">
      <c r="A74" s="57"/>
      <c r="C74" s="59"/>
      <c r="D74" s="59"/>
      <c r="E74" s="60" t="s">
        <v>143</v>
      </c>
      <c r="F74" s="59"/>
      <c r="G74" s="59"/>
    </row>
    <row r="75" spans="1:7" ht="12.75" customHeight="1" x14ac:dyDescent="0.2">
      <c r="A75" s="57"/>
      <c r="C75" s="61"/>
      <c r="D75" s="61"/>
      <c r="E75" s="62"/>
      <c r="F75" s="61"/>
      <c r="G75" s="61"/>
    </row>
    <row r="76" spans="1:7" ht="12.95" customHeight="1" x14ac:dyDescent="0.2">
      <c r="A76" s="57" t="s">
        <v>146</v>
      </c>
      <c r="C76" s="61"/>
      <c r="D76" s="61"/>
      <c r="E76" s="62"/>
      <c r="F76" s="61"/>
      <c r="G76" s="61"/>
    </row>
    <row r="77" spans="1:7" ht="12.75" customHeight="1" x14ac:dyDescent="0.2">
      <c r="A77" s="57" t="s">
        <v>147</v>
      </c>
      <c r="C77" s="61"/>
      <c r="D77" s="61"/>
      <c r="E77" s="62"/>
      <c r="F77" s="61"/>
      <c r="G77" s="61"/>
    </row>
    <row r="78" spans="1:7" ht="12.75" customHeight="1" x14ac:dyDescent="0.2">
      <c r="A78" s="57" t="s">
        <v>148</v>
      </c>
      <c r="C78" s="61"/>
      <c r="D78" s="61"/>
      <c r="E78" s="62"/>
      <c r="F78" s="61"/>
      <c r="G78" s="61"/>
    </row>
    <row r="79" spans="1:7" ht="12.75" customHeight="1" x14ac:dyDescent="0.2">
      <c r="A79" s="57" t="s">
        <v>149</v>
      </c>
    </row>
    <row r="80" spans="1:7" ht="12.75" customHeight="1" x14ac:dyDescent="0.2">
      <c r="A80" s="57"/>
    </row>
    <row r="81" spans="1:1" ht="15" customHeight="1" x14ac:dyDescent="0.25">
      <c r="A81" s="34" t="s">
        <v>150</v>
      </c>
    </row>
    <row r="98" spans="1:1" ht="12.75" customHeight="1" x14ac:dyDescent="0.2">
      <c r="A98" s="57" t="s">
        <v>151</v>
      </c>
    </row>
  </sheetData>
  <pageMargins left="0.42440000000000005" right="0.42440000000000005" top="0.82640000000000002" bottom="0.66810000000000014" header="0.43270000000000003" footer="0.27440000000000003"/>
  <pageSetup paperSize="0" scale="70" fitToWidth="0" fitToHeight="0" pageOrder="overThenDown" orientation="portrait" horizontalDpi="0" verticalDpi="0" copies="0"/>
  <headerFooter alignWithMargins="0">
    <oddHeader>&amp;C&amp;10&amp;A</oddHeader>
    <oddFooter>&amp;C&amp;10Page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2.75" customHeight="1" x14ac:dyDescent="0.2"/>
  <cols>
    <col min="1" max="1024" width="10.625" customWidth="1"/>
  </cols>
  <sheetData>
    <row r="1" spans="1:3" s="64" customFormat="1" ht="24" customHeight="1" x14ac:dyDescent="0.35">
      <c r="A1" s="63" t="s">
        <v>152</v>
      </c>
    </row>
    <row r="3" spans="1:3" ht="12.75" customHeight="1" x14ac:dyDescent="0.2">
      <c r="A3" t="s">
        <v>153</v>
      </c>
      <c r="B3" t="s">
        <v>154</v>
      </c>
    </row>
    <row r="4" spans="1:3" ht="12.75" customHeight="1" x14ac:dyDescent="0.2">
      <c r="A4" t="s">
        <v>155</v>
      </c>
      <c r="B4" t="s">
        <v>156</v>
      </c>
    </row>
    <row r="5" spans="1:3" ht="12.75" customHeight="1" x14ac:dyDescent="0.2">
      <c r="A5" t="s">
        <v>157</v>
      </c>
      <c r="B5" t="s">
        <v>158</v>
      </c>
    </row>
    <row r="6" spans="1:3" ht="12.75" customHeight="1" x14ac:dyDescent="0.2">
      <c r="A6" t="s">
        <v>159</v>
      </c>
      <c r="B6" t="s">
        <v>160</v>
      </c>
    </row>
    <row r="7" spans="1:3" ht="12.75" customHeight="1" x14ac:dyDescent="0.2">
      <c r="A7" t="s">
        <v>161</v>
      </c>
      <c r="B7" t="s">
        <v>162</v>
      </c>
    </row>
    <row r="8" spans="1:3" ht="12.75" customHeight="1" x14ac:dyDescent="0.2">
      <c r="A8" t="s">
        <v>163</v>
      </c>
      <c r="B8" t="s">
        <v>164</v>
      </c>
    </row>
    <row r="9" spans="1:3" ht="12.4" customHeight="1" x14ac:dyDescent="0.2">
      <c r="A9" t="s">
        <v>165</v>
      </c>
      <c r="B9" t="s">
        <v>166</v>
      </c>
    </row>
    <row r="10" spans="1:3" ht="12.75" customHeight="1" x14ac:dyDescent="0.2">
      <c r="A10" t="s">
        <v>167</v>
      </c>
      <c r="B10" t="s">
        <v>168</v>
      </c>
    </row>
    <row r="11" spans="1:3" ht="12.75" customHeight="1" x14ac:dyDescent="0.2">
      <c r="C11" t="s">
        <v>169</v>
      </c>
    </row>
  </sheetData>
  <pageMargins left="0.42440000000000005" right="0.42440000000000005" top="0.82640000000000002" bottom="0.66810000000000014" header="0.43270000000000003" footer="0.27440000000000003"/>
  <pageSetup paperSize="0" scale="70" fitToWidth="0" fitToHeight="0" pageOrder="overThenDown" orientation="portrait" horizontalDpi="0" verticalDpi="0" copies="0"/>
  <headerFooter alignWithMargins="0">
    <oddHeader>&amp;C&amp;10&amp;A</oddHeader>
    <oddFooter>&amp;C&amp;10Page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29535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61</vt:i4>
      </vt:variant>
    </vt:vector>
  </HeadingPairs>
  <TitlesOfParts>
    <vt:vector size="65" baseType="lpstr">
      <vt:lpstr>Calc</vt:lpstr>
      <vt:lpstr>Instructions</vt:lpstr>
      <vt:lpstr>Diagrams</vt:lpstr>
      <vt:lpstr>Change Log</vt:lpstr>
      <vt:lpstr>ACFFr</vt:lpstr>
      <vt:lpstr>ACFRr</vt:lpstr>
      <vt:lpstr>Baro</vt:lpstr>
      <vt:lpstr>BaroPress</vt:lpstr>
      <vt:lpstr>BumpFr</vt:lpstr>
      <vt:lpstr>BumpRr</vt:lpstr>
      <vt:lpstr>BumpWheelFr</vt:lpstr>
      <vt:lpstr>BumpWheelRr</vt:lpstr>
      <vt:lpstr>CarWeight</vt:lpstr>
      <vt:lpstr>DesiredSF</vt:lpstr>
      <vt:lpstr>DesiredWheelRate</vt:lpstr>
      <vt:lpstr>Dist1</vt:lpstr>
      <vt:lpstr>Dist2</vt:lpstr>
      <vt:lpstr>DistributionFront</vt:lpstr>
      <vt:lpstr>DistributionRear</vt:lpstr>
      <vt:lpstr>Driver</vt:lpstr>
      <vt:lpstr>FrontWeight</vt:lpstr>
      <vt:lpstr>FuelWeight</vt:lpstr>
      <vt:lpstr>HelperSpring</vt:lpstr>
      <vt:lpstr>Humidity</vt:lpstr>
      <vt:lpstr>MainSpring</vt:lpstr>
      <vt:lpstr>MR</vt:lpstr>
      <vt:lpstr>MRFr</vt:lpstr>
      <vt:lpstr>MRRr</vt:lpstr>
      <vt:lpstr>MSA</vt:lpstr>
      <vt:lpstr>Calc!Print_Area</vt:lpstr>
      <vt:lpstr>RearWeight</vt:lpstr>
      <vt:lpstr>RelHumidity</vt:lpstr>
      <vt:lpstr>SAE_J1349</vt:lpstr>
      <vt:lpstr>SAFVFr</vt:lpstr>
      <vt:lpstr>SAFVRr</vt:lpstr>
      <vt:lpstr>SFFr</vt:lpstr>
      <vt:lpstr>SFFrHz</vt:lpstr>
      <vt:lpstr>SFRr</vt:lpstr>
      <vt:lpstr>SFRrHz</vt:lpstr>
      <vt:lpstr>SpringRateFr</vt:lpstr>
      <vt:lpstr>SpringRateRr</vt:lpstr>
      <vt:lpstr>SprungWeight</vt:lpstr>
      <vt:lpstr>SprungWeightFr</vt:lpstr>
      <vt:lpstr>SprungWeightRr</vt:lpstr>
      <vt:lpstr>STD</vt:lpstr>
      <vt:lpstr>SwayBarMRFr</vt:lpstr>
      <vt:lpstr>SwayBarMRRr</vt:lpstr>
      <vt:lpstr>SwayFr</vt:lpstr>
      <vt:lpstr>SwayRr</vt:lpstr>
      <vt:lpstr>SwayWheelFr</vt:lpstr>
      <vt:lpstr>SwayWheelRr</vt:lpstr>
      <vt:lpstr>Temp</vt:lpstr>
      <vt:lpstr>TempF</vt:lpstr>
      <vt:lpstr>TotalCarWeight</vt:lpstr>
      <vt:lpstr>TrackFr</vt:lpstr>
      <vt:lpstr>TrackRr</vt:lpstr>
      <vt:lpstr>UncHP</vt:lpstr>
      <vt:lpstr>UnHP</vt:lpstr>
      <vt:lpstr>UnsprungFr</vt:lpstr>
      <vt:lpstr>UnsprungRr</vt:lpstr>
      <vt:lpstr>UnsprungWeight</vt:lpstr>
      <vt:lpstr>Vapor</vt:lpstr>
      <vt:lpstr>VaporPressure</vt:lpstr>
      <vt:lpstr>WheelRateFr</vt:lpstr>
      <vt:lpstr>WheelRateRr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Hauge Addison</dc:creator>
  <cp:lastModifiedBy>Addison Hauge</cp:lastModifiedBy>
  <cp:revision>150</cp:revision>
  <cp:lastPrinted>2016-06-21T15:56:49Z</cp:lastPrinted>
  <dcterms:created xsi:type="dcterms:W3CDTF">2016-06-20T00:39:18Z</dcterms:created>
  <dcterms:modified xsi:type="dcterms:W3CDTF">2019-04-12T18:06:36Z</dcterms:modified>
</cp:coreProperties>
</file>